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95" yWindow="480" windowWidth="14925" windowHeight="7215" tabRatio="880"/>
  </bookViews>
  <sheets>
    <sheet name="Title" sheetId="36" r:id="rId1"/>
    <sheet name="Overview" sheetId="5" r:id="rId2"/>
    <sheet name="1.0 Instructions" sheetId="35" state="hidden" r:id="rId3"/>
    <sheet name="2.0 Exchange Variables" sheetId="21" r:id="rId4"/>
    <sheet name="3.0 Cost Variables" sheetId="20" r:id="rId5"/>
    <sheet name="4.0 Activities" sheetId="19" r:id="rId6"/>
    <sheet name="5.0 Summary Analysis" sheetId="18" r:id="rId7"/>
    <sheet name="5.1 Base YR" sheetId="22" r:id="rId8"/>
    <sheet name="5.2 YR1" sheetId="32" r:id="rId9"/>
    <sheet name="5.3 YR2" sheetId="33" r:id="rId10"/>
    <sheet name="5.4 YR3" sheetId="34" r:id="rId11"/>
    <sheet name="6.0 Metrics" sheetId="23" state="hidden" r:id="rId12"/>
    <sheet name="0.1 Dashboard" sheetId="25" state="hidden" r:id="rId13"/>
    <sheet name="6.0 Appendix" sheetId="9" state="hidden" r:id="rId14"/>
    <sheet name="Sample Values" sheetId="26" state="hidden" r:id="rId15"/>
  </sheets>
  <definedNames>
    <definedName name="_xlnm._FilterDatabase" localSheetId="3" hidden="1">'2.0 Exchange Variables'!$A$7:$F$13</definedName>
    <definedName name="_Toc244053923" localSheetId="12">'0.1 Dashboard'!#REF!</definedName>
    <definedName name="Activities">'1.0 Instructions'!$C$35</definedName>
    <definedName name="AddDisc1">'2.0 Exchange Variables'!#REF!</definedName>
    <definedName name="AddDisc2">'2.0 Exchange Variables'!#REF!</definedName>
    <definedName name="AddDisc3">'2.0 Exchange Variables'!#REF!</definedName>
    <definedName name="Analysis">'1.0 Instructions'!$C$47</definedName>
    <definedName name="AnalysisOverTime">'1.0 Instructions'!#REF!</definedName>
    <definedName name="Complexity">'2.0 Exchange Variables'!$C$13</definedName>
    <definedName name="ComplexityList">'2.0 Exchange Variables'!$I$8:$K$8</definedName>
    <definedName name="CostVariables">'1.0 Instructions'!#REF!</definedName>
    <definedName name="ExchangeVariables">'1.0 Instructions'!#REF!</definedName>
    <definedName name="ExistingIEPD">'2.0 Exchange Variables'!$C$25</definedName>
    <definedName name="Instructions">'1.0 Instructions'!$B$7</definedName>
    <definedName name="LCat1">'3.0 Cost Variables'!$F$9</definedName>
    <definedName name="LCat10">'3.0 Cost Variables'!$F$18</definedName>
    <definedName name="LCat2">'3.0 Cost Variables'!$F$10</definedName>
    <definedName name="LCat3">'3.0 Cost Variables'!$F$11</definedName>
    <definedName name="LCat4">'3.0 Cost Variables'!$F$12</definedName>
    <definedName name="LCat5">'3.0 Cost Variables'!$F$13</definedName>
    <definedName name="LCat6">'3.0 Cost Variables'!$F$14</definedName>
    <definedName name="LCat7">'3.0 Cost Variables'!$F$15</definedName>
    <definedName name="LCat8">'3.0 Cost Variables'!$F$16</definedName>
    <definedName name="LCat9">'3.0 Cost Variables'!$F$17</definedName>
    <definedName name="LOE">'2.0 Exchange Variables'!$H$9:$H$12</definedName>
    <definedName name="Metrics">'1.0 Instructions'!#REF!</definedName>
    <definedName name="ModelOverlap">'2.0 Exchange Variables'!$A$18:$A$21</definedName>
    <definedName name="NewConsumers">'2.0 Exchange Variables'!$C$9</definedName>
    <definedName name="NewConsumers1">'2.0 Exchange Variables'!$D$9</definedName>
    <definedName name="NewConsumers2">'2.0 Exchange Variables'!$E$9</definedName>
    <definedName name="NewConsumers3">'2.0 Exchange Variables'!$F$9</definedName>
    <definedName name="NewIEPDs">'2.0 Exchange Variables'!$C$10</definedName>
    <definedName name="NewIEPDs1">'2.0 Exchange Variables'!$D$10</definedName>
    <definedName name="NewIEPDs2">'2.0 Exchange Variables'!$E$10</definedName>
    <definedName name="NewIEPDs3">'2.0 Exchange Variables'!$F$10</definedName>
    <definedName name="NO">'2.0 Exchange Variables'!$A$21</definedName>
    <definedName name="Overlap">'2.0 Exchange Variables'!$C$26</definedName>
    <definedName name="_xlnm.Print_Area" localSheetId="2">'1.0 Instructions'!$B$7:$J$47</definedName>
    <definedName name="_xlnm.Print_Area" localSheetId="3">'2.0 Exchange Variables'!$A$2:$K$26</definedName>
    <definedName name="_xlnm.Print_Area" localSheetId="4">'3.0 Cost Variables'!$A$2:$F$37</definedName>
    <definedName name="_xlnm.Print_Area" localSheetId="6">'5.0 Summary Analysis'!$A$2:$G$130</definedName>
    <definedName name="_xlnm.Print_Area" localSheetId="8">'5.2 YR1'!$A$2:$H$91</definedName>
    <definedName name="_xlnm.Print_Area" localSheetId="9">'5.3 YR2'!$A$2:$H$91</definedName>
    <definedName name="_xlnm.Print_Area" localSheetId="10">'5.4 YR3'!$A$2:$H$91</definedName>
    <definedName name="_xlnm.Print_Area" localSheetId="11">'6.0 Metrics'!$A$1:$W$55</definedName>
    <definedName name="_xlnm.Print_Area" localSheetId="1">Overview!$A$2:$G$16</definedName>
    <definedName name="_xlnm.Print_Titles" localSheetId="5">'4.0 Activities'!$7:$9</definedName>
    <definedName name="_xlnm.Print_Titles" localSheetId="6">'5.0 Summary Analysis'!$7:$11</definedName>
    <definedName name="_xlnm.Print_Titles" localSheetId="7">'5.1 Base YR'!$7:$8</definedName>
    <definedName name="_xlnm.Print_Titles" localSheetId="8">'5.2 YR1'!$7:$8</definedName>
    <definedName name="_xlnm.Print_Titles" localSheetId="9">'5.3 YR2'!$7:$8</definedName>
    <definedName name="_xlnm.Print_Titles" localSheetId="10">'5.4 YR3'!$7:$8</definedName>
    <definedName name="ResourceRates">'3.0 Cost Variables'!$F$8</definedName>
    <definedName name="ResourceType">'3.0 Cost Variables'!$C$8:$D$8</definedName>
    <definedName name="ReuseDisc1">'2.0 Exchange Variables'!#REF!</definedName>
    <definedName name="ReuseDisc2">'2.0 Exchange Variables'!#REF!</definedName>
    <definedName name="ReuseDisc3">'2.0 Exchange Variables'!#REF!</definedName>
    <definedName name="Training">'3.0 Cost Variables'!$C$22</definedName>
    <definedName name="Training1">'3.0 Cost Variables'!$E$2+'3.0 Cost Variables'!$D$22</definedName>
    <definedName name="Training2">'3.0 Cost Variables'!$E$22</definedName>
    <definedName name="Training3">'3.0 Cost Variables'!$F$28</definedName>
    <definedName name="YES">'2.0 Exchange Variables'!$A$18:$A$20</definedName>
  </definedNames>
  <calcPr calcId="145621"/>
</workbook>
</file>

<file path=xl/calcChain.xml><?xml version="1.0" encoding="utf-8"?>
<calcChain xmlns="http://schemas.openxmlformats.org/spreadsheetml/2006/main">
  <c r="F15" i="20" l="1"/>
  <c r="F17" i="20"/>
  <c r="F18" i="20"/>
  <c r="M9" i="19"/>
  <c r="F9" i="20"/>
  <c r="F10" i="20"/>
  <c r="F11" i="20"/>
  <c r="F12" i="20"/>
  <c r="F13" i="20"/>
  <c r="F14" i="20"/>
  <c r="F16" i="20"/>
  <c r="G85" i="22" l="1"/>
  <c r="G12" i="21" l="1"/>
  <c r="G11" i="21"/>
  <c r="G13" i="21" l="1"/>
  <c r="C13" i="21" s="1"/>
  <c r="C93" i="18" l="1"/>
  <c r="C87" i="18"/>
  <c r="C81" i="18"/>
  <c r="C75" i="18"/>
  <c r="C47" i="18" l="1"/>
  <c r="D86" i="34" l="1"/>
  <c r="G85" i="34"/>
  <c r="F85" i="34"/>
  <c r="E85" i="34"/>
  <c r="D85" i="34"/>
  <c r="G81" i="34"/>
  <c r="F80" i="34"/>
  <c r="H80" i="34" s="1"/>
  <c r="F79" i="34"/>
  <c r="H79" i="34" s="1"/>
  <c r="D79" i="34"/>
  <c r="F78" i="34"/>
  <c r="H78" i="34" s="1"/>
  <c r="D78" i="34"/>
  <c r="G85" i="33"/>
  <c r="F85" i="33"/>
  <c r="E85" i="33"/>
  <c r="G81" i="32"/>
  <c r="G81" i="33"/>
  <c r="D86" i="33"/>
  <c r="D85" i="33"/>
  <c r="D86" i="32"/>
  <c r="G85" i="32"/>
  <c r="F85" i="32"/>
  <c r="E85" i="32"/>
  <c r="D85" i="32"/>
  <c r="C37" i="20"/>
  <c r="F81" i="34" l="1"/>
  <c r="H85" i="34"/>
  <c r="H85" i="33"/>
  <c r="H85" i="32"/>
  <c r="H81" i="34"/>
  <c r="E85" i="22"/>
  <c r="E80" i="22"/>
  <c r="E78" i="22"/>
  <c r="E79" i="22"/>
  <c r="G81" i="22" l="1"/>
  <c r="F81" i="22"/>
  <c r="H8" i="22" l="1"/>
  <c r="F31" i="20" l="1"/>
  <c r="G13" i="18" s="1"/>
  <c r="E31" i="20"/>
  <c r="F13" i="18" s="1"/>
  <c r="D31" i="20"/>
  <c r="E13" i="18" s="1"/>
  <c r="C31" i="20"/>
  <c r="D13" i="18" s="1"/>
  <c r="D15" i="18" s="1"/>
  <c r="B6" i="36" l="1"/>
  <c r="G10" i="18" l="1"/>
  <c r="F10" i="18"/>
  <c r="E10" i="18"/>
  <c r="G86" i="18" l="1"/>
  <c r="F80" i="33"/>
  <c r="H80" i="33" s="1"/>
  <c r="F86" i="18" s="1"/>
  <c r="F79" i="33"/>
  <c r="H79" i="33" s="1"/>
  <c r="F85" i="18" s="1"/>
  <c r="F78" i="33"/>
  <c r="F80" i="32"/>
  <c r="H80" i="32" s="1"/>
  <c r="E86" i="18" s="1"/>
  <c r="F79" i="32"/>
  <c r="H79" i="32" s="1"/>
  <c r="E85" i="18" s="1"/>
  <c r="F78" i="32"/>
  <c r="G85" i="18"/>
  <c r="G84" i="18"/>
  <c r="H78" i="32" l="1"/>
  <c r="H81" i="32" s="1"/>
  <c r="F81" i="32"/>
  <c r="H78" i="33"/>
  <c r="F81" i="33"/>
  <c r="E84" i="18" l="1"/>
  <c r="F84" i="18"/>
  <c r="H81" i="33"/>
  <c r="D86" i="22"/>
  <c r="H8" i="34" l="1"/>
  <c r="H8" i="33"/>
  <c r="H8" i="32"/>
  <c r="D19" i="20" l="1"/>
  <c r="C19" i="20"/>
  <c r="L9" i="19"/>
  <c r="K9" i="19"/>
  <c r="J9" i="19"/>
  <c r="I9" i="19"/>
  <c r="H9" i="19"/>
  <c r="G9" i="19"/>
  <c r="F9" i="19"/>
  <c r="E9" i="19"/>
  <c r="D9" i="19"/>
  <c r="F19" i="20" l="1"/>
  <c r="E79" i="32"/>
  <c r="D79" i="33"/>
  <c r="D78" i="33"/>
  <c r="D79" i="32"/>
  <c r="D78" i="32"/>
  <c r="D85" i="22"/>
  <c r="D79" i="22"/>
  <c r="D78" i="22"/>
  <c r="D121" i="18"/>
  <c r="D118" i="18"/>
  <c r="D115" i="18"/>
  <c r="D112" i="18"/>
  <c r="D109" i="18"/>
  <c r="D106" i="18"/>
  <c r="E123" i="18"/>
  <c r="F123" i="18" s="1"/>
  <c r="G123" i="18" s="1"/>
  <c r="E122" i="18"/>
  <c r="F122" i="18" s="1"/>
  <c r="G122" i="18" s="1"/>
  <c r="E120" i="18"/>
  <c r="F120" i="18" s="1"/>
  <c r="G120" i="18" s="1"/>
  <c r="E119" i="18"/>
  <c r="F119" i="18" s="1"/>
  <c r="E117" i="18"/>
  <c r="F117" i="18" s="1"/>
  <c r="G117" i="18" s="1"/>
  <c r="E116" i="18"/>
  <c r="E114" i="18"/>
  <c r="F114" i="18" s="1"/>
  <c r="E113" i="18"/>
  <c r="F113" i="18" s="1"/>
  <c r="G113" i="18" s="1"/>
  <c r="E111" i="18"/>
  <c r="F111" i="18" s="1"/>
  <c r="E110" i="18"/>
  <c r="F110" i="18" s="1"/>
  <c r="G110" i="18" s="1"/>
  <c r="E108" i="18"/>
  <c r="E107" i="18"/>
  <c r="F107" i="18" s="1"/>
  <c r="G107" i="18" s="1"/>
  <c r="E79" i="33" l="1"/>
  <c r="E79" i="34"/>
  <c r="E78" i="32"/>
  <c r="E81" i="22"/>
  <c r="E11" i="22"/>
  <c r="E11" i="32" s="1"/>
  <c r="E29" i="22"/>
  <c r="H80" i="22"/>
  <c r="D86" i="18" s="1"/>
  <c r="E80" i="32"/>
  <c r="E109" i="18"/>
  <c r="E106" i="18"/>
  <c r="F108" i="18"/>
  <c r="G108" i="18" s="1"/>
  <c r="G106" i="18" s="1"/>
  <c r="G121" i="18"/>
  <c r="E121" i="18"/>
  <c r="E69" i="22"/>
  <c r="E69" i="32" s="1"/>
  <c r="E69" i="33" s="1"/>
  <c r="E69" i="34" s="1"/>
  <c r="E62" i="22"/>
  <c r="E62" i="32" s="1"/>
  <c r="E62" i="33" s="1"/>
  <c r="E62" i="34" s="1"/>
  <c r="E55" i="22"/>
  <c r="E55" i="32" s="1"/>
  <c r="E55" i="33" s="1"/>
  <c r="E55" i="34" s="1"/>
  <c r="E48" i="22"/>
  <c r="E48" i="32" s="1"/>
  <c r="E48" i="33" s="1"/>
  <c r="E48" i="34" s="1"/>
  <c r="E41" i="22"/>
  <c r="E41" i="32" s="1"/>
  <c r="E41" i="33" s="1"/>
  <c r="E41" i="34" s="1"/>
  <c r="E42" i="34" s="1"/>
  <c r="E31" i="22"/>
  <c r="E31" i="32" s="1"/>
  <c r="E31" i="33" s="1"/>
  <c r="E31" i="34" s="1"/>
  <c r="E27" i="22"/>
  <c r="E27" i="32" s="1"/>
  <c r="E27" i="33" s="1"/>
  <c r="E27" i="34" s="1"/>
  <c r="E56" i="22"/>
  <c r="E56" i="32" s="1"/>
  <c r="E56" i="33" s="1"/>
  <c r="E56" i="34" s="1"/>
  <c r="E32" i="22"/>
  <c r="E32" i="32" s="1"/>
  <c r="E32" i="33" s="1"/>
  <c r="E32" i="34" s="1"/>
  <c r="E18" i="22"/>
  <c r="E18" i="32" s="1"/>
  <c r="E18" i="33" s="1"/>
  <c r="E18" i="34" s="1"/>
  <c r="E65" i="22"/>
  <c r="E65" i="32" s="1"/>
  <c r="E65" i="33" s="1"/>
  <c r="E65" i="34" s="1"/>
  <c r="E61" i="22"/>
  <c r="E61" i="32" s="1"/>
  <c r="E61" i="33" s="1"/>
  <c r="E61" i="34" s="1"/>
  <c r="E54" i="22"/>
  <c r="E47" i="22"/>
  <c r="E47" i="32" s="1"/>
  <c r="E47" i="33" s="1"/>
  <c r="E47" i="34" s="1"/>
  <c r="E37" i="22"/>
  <c r="E37" i="32" s="1"/>
  <c r="E37" i="33" s="1"/>
  <c r="E37" i="34" s="1"/>
  <c r="E30" i="22"/>
  <c r="E30" i="32" s="1"/>
  <c r="E30" i="33" s="1"/>
  <c r="E30" i="34" s="1"/>
  <c r="E23" i="22"/>
  <c r="E23" i="32" s="1"/>
  <c r="E23" i="33" s="1"/>
  <c r="E23" i="34" s="1"/>
  <c r="E17" i="22"/>
  <c r="E17" i="32" s="1"/>
  <c r="E17" i="33" s="1"/>
  <c r="E17" i="34" s="1"/>
  <c r="E71" i="22"/>
  <c r="E64" i="22"/>
  <c r="E64" i="32" s="1"/>
  <c r="E64" i="33" s="1"/>
  <c r="E64" i="34" s="1"/>
  <c r="E60" i="22"/>
  <c r="E60" i="32" s="1"/>
  <c r="E60" i="33" s="1"/>
  <c r="E60" i="34" s="1"/>
  <c r="E50" i="22"/>
  <c r="E46" i="22"/>
  <c r="E46" i="32" s="1"/>
  <c r="E46" i="33" s="1"/>
  <c r="E46" i="34" s="1"/>
  <c r="E36" i="22"/>
  <c r="E36" i="32" s="1"/>
  <c r="E36" i="33" s="1"/>
  <c r="E36" i="34" s="1"/>
  <c r="E22" i="22"/>
  <c r="E22" i="32" s="1"/>
  <c r="E22" i="33" s="1"/>
  <c r="E22" i="34" s="1"/>
  <c r="E12" i="22"/>
  <c r="E12" i="32" s="1"/>
  <c r="E12" i="33" s="1"/>
  <c r="E12" i="34" s="1"/>
  <c r="E70" i="22"/>
  <c r="E70" i="32" s="1"/>
  <c r="E70" i="33" s="1"/>
  <c r="E70" i="34" s="1"/>
  <c r="E63" i="22"/>
  <c r="E63" i="32" s="1"/>
  <c r="E63" i="33" s="1"/>
  <c r="E63" i="34" s="1"/>
  <c r="E49" i="22"/>
  <c r="E49" i="32" s="1"/>
  <c r="E49" i="33" s="1"/>
  <c r="E49" i="34" s="1"/>
  <c r="E45" i="22"/>
  <c r="E45" i="32" s="1"/>
  <c r="E45" i="33" s="1"/>
  <c r="E45" i="34" s="1"/>
  <c r="E28" i="22"/>
  <c r="E13" i="22"/>
  <c r="E13" i="32" s="1"/>
  <c r="E13" i="33" s="1"/>
  <c r="E13" i="34" s="1"/>
  <c r="H79" i="22"/>
  <c r="D85" i="18" s="1"/>
  <c r="H78" i="22"/>
  <c r="G111" i="18"/>
  <c r="G109" i="18" s="1"/>
  <c r="F109" i="18"/>
  <c r="F118" i="18"/>
  <c r="G119" i="18"/>
  <c r="G118" i="18" s="1"/>
  <c r="F116" i="18"/>
  <c r="E115" i="18"/>
  <c r="G114" i="18"/>
  <c r="G112" i="18" s="1"/>
  <c r="F112" i="18"/>
  <c r="F121" i="18"/>
  <c r="E118" i="18"/>
  <c r="E112" i="18"/>
  <c r="D124" i="18"/>
  <c r="E50" i="32" l="1"/>
  <c r="E50" i="33" s="1"/>
  <c r="E50" i="34" s="1"/>
  <c r="F50" i="22"/>
  <c r="E86" i="22"/>
  <c r="E80" i="33"/>
  <c r="E80" i="34"/>
  <c r="E78" i="33"/>
  <c r="E81" i="32"/>
  <c r="E78" i="34"/>
  <c r="D84" i="18"/>
  <c r="D87" i="18" s="1"/>
  <c r="H81" i="22"/>
  <c r="E11" i="33"/>
  <c r="E11" i="34" s="1"/>
  <c r="F11" i="32"/>
  <c r="G23" i="22"/>
  <c r="G28" i="22"/>
  <c r="E28" i="32"/>
  <c r="E28" i="33" s="1"/>
  <c r="E71" i="32"/>
  <c r="E71" i="33" s="1"/>
  <c r="E71" i="34" s="1"/>
  <c r="G71" i="22"/>
  <c r="F71" i="22"/>
  <c r="E29" i="32"/>
  <c r="E86" i="32" s="1"/>
  <c r="E54" i="32"/>
  <c r="E54" i="33" s="1"/>
  <c r="E54" i="34" s="1"/>
  <c r="F106" i="18"/>
  <c r="E124" i="18"/>
  <c r="F22" i="34"/>
  <c r="G22" i="32"/>
  <c r="F22" i="33"/>
  <c r="F28" i="22"/>
  <c r="G22" i="34"/>
  <c r="G54" i="22"/>
  <c r="F62" i="34"/>
  <c r="F60" i="22"/>
  <c r="F22" i="22"/>
  <c r="G60" i="34"/>
  <c r="G60" i="22"/>
  <c r="G22" i="22"/>
  <c r="E24" i="22"/>
  <c r="F30" i="22"/>
  <c r="F23" i="22"/>
  <c r="F60" i="33"/>
  <c r="F54" i="22"/>
  <c r="G23" i="32"/>
  <c r="G30" i="22"/>
  <c r="F62" i="22"/>
  <c r="G62" i="22"/>
  <c r="G48" i="22"/>
  <c r="F48" i="22"/>
  <c r="F30" i="32"/>
  <c r="F11" i="22"/>
  <c r="G11" i="22"/>
  <c r="G41" i="22"/>
  <c r="G42" i="22" s="1"/>
  <c r="G46" i="22"/>
  <c r="G31" i="22"/>
  <c r="G36" i="22"/>
  <c r="G37" i="22"/>
  <c r="G64" i="22"/>
  <c r="G18" i="22"/>
  <c r="G29" i="22"/>
  <c r="G69" i="22"/>
  <c r="G65" i="22"/>
  <c r="G47" i="22"/>
  <c r="G61" i="22"/>
  <c r="G45" i="22"/>
  <c r="G12" i="22"/>
  <c r="G13" i="22"/>
  <c r="G50" i="22"/>
  <c r="G63" i="22"/>
  <c r="F48" i="32"/>
  <c r="G48" i="32"/>
  <c r="G55" i="22"/>
  <c r="G27" i="22"/>
  <c r="G17" i="22"/>
  <c r="G32" i="22"/>
  <c r="G49" i="22"/>
  <c r="G56" i="22"/>
  <c r="G70" i="22"/>
  <c r="F64" i="22"/>
  <c r="E42" i="22"/>
  <c r="F41" i="22"/>
  <c r="F42" i="22" s="1"/>
  <c r="E38" i="22"/>
  <c r="F36" i="22"/>
  <c r="F37" i="22"/>
  <c r="F47" i="22"/>
  <c r="E66" i="22"/>
  <c r="F61" i="22"/>
  <c r="F27" i="22"/>
  <c r="E33" i="22"/>
  <c r="F13" i="22"/>
  <c r="G116" i="18"/>
  <c r="G115" i="18" s="1"/>
  <c r="G124" i="18" s="1"/>
  <c r="F115" i="18"/>
  <c r="F46" i="22"/>
  <c r="F31" i="22"/>
  <c r="F18" i="22"/>
  <c r="F29" i="22"/>
  <c r="E72" i="22"/>
  <c r="F69" i="22"/>
  <c r="F65" i="22"/>
  <c r="F55" i="22"/>
  <c r="E57" i="22"/>
  <c r="E87" i="18"/>
  <c r="F63" i="22"/>
  <c r="F45" i="22"/>
  <c r="E51" i="22"/>
  <c r="F12" i="22"/>
  <c r="E14" i="22"/>
  <c r="F17" i="22"/>
  <c r="E19" i="22"/>
  <c r="F32" i="22"/>
  <c r="F49" i="22"/>
  <c r="F56" i="22"/>
  <c r="F70" i="22"/>
  <c r="E81" i="33" l="1"/>
  <c r="E81" i="34"/>
  <c r="E28" i="34"/>
  <c r="F28" i="34" s="1"/>
  <c r="G86" i="22"/>
  <c r="F86" i="22"/>
  <c r="E74" i="22"/>
  <c r="E87" i="22" s="1"/>
  <c r="E88" i="22" s="1"/>
  <c r="E91" i="22" s="1"/>
  <c r="E29" i="33"/>
  <c r="H23" i="22"/>
  <c r="D32" i="18" s="1"/>
  <c r="G24" i="22"/>
  <c r="G28" i="33"/>
  <c r="H28" i="22"/>
  <c r="D37" i="18" s="1"/>
  <c r="F54" i="33"/>
  <c r="G54" i="32"/>
  <c r="G54" i="33"/>
  <c r="H22" i="34"/>
  <c r="G31" i="18" s="1"/>
  <c r="H48" i="32"/>
  <c r="E57" i="18" s="1"/>
  <c r="F124" i="18"/>
  <c r="F85" i="22"/>
  <c r="F28" i="32"/>
  <c r="H54" i="22"/>
  <c r="D63" i="18" s="1"/>
  <c r="G62" i="34"/>
  <c r="H62" i="34" s="1"/>
  <c r="G71" i="18" s="1"/>
  <c r="G28" i="34"/>
  <c r="H65" i="22"/>
  <c r="D74" i="18" s="1"/>
  <c r="F62" i="32"/>
  <c r="F28" i="33"/>
  <c r="F54" i="32"/>
  <c r="G28" i="32"/>
  <c r="G22" i="33"/>
  <c r="H22" i="33" s="1"/>
  <c r="F31" i="18" s="1"/>
  <c r="G62" i="32"/>
  <c r="H60" i="22"/>
  <c r="D69" i="18" s="1"/>
  <c r="H30" i="22"/>
  <c r="D39" i="18" s="1"/>
  <c r="G24" i="32"/>
  <c r="F22" i="32"/>
  <c r="H22" i="32" s="1"/>
  <c r="E31" i="18" s="1"/>
  <c r="H22" i="22"/>
  <c r="H47" i="22"/>
  <c r="D56" i="18" s="1"/>
  <c r="G23" i="33"/>
  <c r="F23" i="33"/>
  <c r="F24" i="33" s="1"/>
  <c r="G60" i="33"/>
  <c r="H60" i="33" s="1"/>
  <c r="F69" i="18" s="1"/>
  <c r="G60" i="32"/>
  <c r="E24" i="32"/>
  <c r="F60" i="34"/>
  <c r="H60" i="34" s="1"/>
  <c r="G69" i="18" s="1"/>
  <c r="F24" i="22"/>
  <c r="G23" i="34"/>
  <c r="G24" i="34" s="1"/>
  <c r="F23" i="32"/>
  <c r="H23" i="32" s="1"/>
  <c r="E32" i="18" s="1"/>
  <c r="F60" i="32"/>
  <c r="G30" i="33"/>
  <c r="G30" i="34"/>
  <c r="H37" i="22"/>
  <c r="D46" i="18" s="1"/>
  <c r="F30" i="34"/>
  <c r="H48" i="22"/>
  <c r="D57" i="18" s="1"/>
  <c r="F30" i="33"/>
  <c r="G54" i="34"/>
  <c r="F54" i="34"/>
  <c r="E24" i="34"/>
  <c r="H13" i="22"/>
  <c r="D22" i="18" s="1"/>
  <c r="H50" i="22"/>
  <c r="D59" i="18" s="1"/>
  <c r="G19" i="22"/>
  <c r="F23" i="34"/>
  <c r="E24" i="33"/>
  <c r="H11" i="22"/>
  <c r="D20" i="18" s="1"/>
  <c r="D10" i="18" s="1"/>
  <c r="H62" i="22"/>
  <c r="D71" i="18" s="1"/>
  <c r="G11" i="33"/>
  <c r="F11" i="33"/>
  <c r="G48" i="34"/>
  <c r="F48" i="34"/>
  <c r="F11" i="34"/>
  <c r="G11" i="34"/>
  <c r="G11" i="32"/>
  <c r="F62" i="33"/>
  <c r="G62" i="33"/>
  <c r="G30" i="32"/>
  <c r="H30" i="32" s="1"/>
  <c r="E39" i="18" s="1"/>
  <c r="G48" i="33"/>
  <c r="F48" i="33"/>
  <c r="H49" i="22"/>
  <c r="D58" i="18" s="1"/>
  <c r="H63" i="22"/>
  <c r="D72" i="18" s="1"/>
  <c r="H70" i="22"/>
  <c r="D79" i="18" s="1"/>
  <c r="H32" i="22"/>
  <c r="D41" i="18" s="1"/>
  <c r="H17" i="22"/>
  <c r="D26" i="18" s="1"/>
  <c r="H64" i="22"/>
  <c r="D73" i="18" s="1"/>
  <c r="G51" i="22"/>
  <c r="G17" i="33"/>
  <c r="F17" i="33"/>
  <c r="E19" i="33"/>
  <c r="F55" i="32"/>
  <c r="G55" i="32"/>
  <c r="E57" i="32"/>
  <c r="F50" i="32"/>
  <c r="G50" i="32"/>
  <c r="F13" i="32"/>
  <c r="G13" i="32"/>
  <c r="F47" i="33"/>
  <c r="G47" i="33"/>
  <c r="F64" i="34"/>
  <c r="G64" i="34"/>
  <c r="G38" i="22"/>
  <c r="G31" i="32"/>
  <c r="F31" i="32"/>
  <c r="H56" i="22"/>
  <c r="D65" i="18" s="1"/>
  <c r="G70" i="32"/>
  <c r="F70" i="32"/>
  <c r="F49" i="33"/>
  <c r="G49" i="33"/>
  <c r="G32" i="34"/>
  <c r="F32" i="34"/>
  <c r="G33" i="22"/>
  <c r="F63" i="32"/>
  <c r="G63" i="32"/>
  <c r="F50" i="33"/>
  <c r="G50" i="33"/>
  <c r="G18" i="32"/>
  <c r="F18" i="32"/>
  <c r="F12" i="34"/>
  <c r="G12" i="34"/>
  <c r="E14" i="34"/>
  <c r="G45" i="33"/>
  <c r="F45" i="33"/>
  <c r="E51" i="33"/>
  <c r="F71" i="32"/>
  <c r="G71" i="32"/>
  <c r="F47" i="32"/>
  <c r="G47" i="32"/>
  <c r="G65" i="32"/>
  <c r="F65" i="32"/>
  <c r="G72" i="22"/>
  <c r="G18" i="33"/>
  <c r="F18" i="33"/>
  <c r="G64" i="32"/>
  <c r="F64" i="32"/>
  <c r="G37" i="34"/>
  <c r="F37" i="34"/>
  <c r="F36" i="33"/>
  <c r="E38" i="33"/>
  <c r="G36" i="33"/>
  <c r="F46" i="32"/>
  <c r="G46" i="32"/>
  <c r="F41" i="33"/>
  <c r="F42" i="33" s="1"/>
  <c r="G41" i="33"/>
  <c r="E42" i="33"/>
  <c r="H69" i="22"/>
  <c r="D78" i="18" s="1"/>
  <c r="H61" i="22"/>
  <c r="D70" i="18" s="1"/>
  <c r="H36" i="22"/>
  <c r="D45" i="18" s="1"/>
  <c r="G56" i="32"/>
  <c r="F56" i="32"/>
  <c r="G49" i="32"/>
  <c r="F49" i="32"/>
  <c r="G27" i="32"/>
  <c r="F27" i="32"/>
  <c r="E33" i="32"/>
  <c r="G55" i="34"/>
  <c r="E57" i="34"/>
  <c r="F55" i="34"/>
  <c r="F63" i="33"/>
  <c r="G63" i="33"/>
  <c r="F50" i="34"/>
  <c r="G50" i="34"/>
  <c r="F13" i="33"/>
  <c r="G13" i="33"/>
  <c r="G14" i="22"/>
  <c r="F45" i="34"/>
  <c r="G45" i="34"/>
  <c r="E51" i="34"/>
  <c r="G71" i="34"/>
  <c r="F71" i="34"/>
  <c r="F61" i="32"/>
  <c r="G61" i="32"/>
  <c r="E66" i="32"/>
  <c r="G47" i="34"/>
  <c r="F47" i="34"/>
  <c r="G65" i="33"/>
  <c r="F65" i="33"/>
  <c r="G69" i="32"/>
  <c r="F69" i="32"/>
  <c r="E72" i="32"/>
  <c r="F29" i="32"/>
  <c r="G29" i="32"/>
  <c r="G86" i="32" s="1"/>
  <c r="G37" i="32"/>
  <c r="F37" i="32"/>
  <c r="G36" i="32"/>
  <c r="F36" i="32"/>
  <c r="E38" i="32"/>
  <c r="F31" i="33"/>
  <c r="G31" i="33"/>
  <c r="G46" i="33"/>
  <c r="F46" i="33"/>
  <c r="F41" i="34"/>
  <c r="F42" i="34" s="1"/>
  <c r="G41" i="34"/>
  <c r="G42" i="34" s="1"/>
  <c r="G70" i="33"/>
  <c r="F70" i="33"/>
  <c r="F49" i="34"/>
  <c r="G49" i="34"/>
  <c r="F32" i="32"/>
  <c r="G32" i="32"/>
  <c r="F27" i="34"/>
  <c r="G27" i="34"/>
  <c r="G12" i="32"/>
  <c r="F12" i="32"/>
  <c r="E14" i="32"/>
  <c r="F61" i="34"/>
  <c r="G61" i="34"/>
  <c r="E66" i="34"/>
  <c r="F69" i="34"/>
  <c r="E72" i="34"/>
  <c r="G69" i="34"/>
  <c r="H71" i="22"/>
  <c r="D80" i="18" s="1"/>
  <c r="G56" i="33"/>
  <c r="F56" i="33"/>
  <c r="G57" i="22"/>
  <c r="G66" i="22"/>
  <c r="H31" i="22"/>
  <c r="D40" i="18" s="1"/>
  <c r="H46" i="22"/>
  <c r="D55" i="18" s="1"/>
  <c r="F70" i="34"/>
  <c r="G70" i="34"/>
  <c r="G56" i="34"/>
  <c r="F56" i="34"/>
  <c r="F32" i="33"/>
  <c r="G32" i="33"/>
  <c r="F17" i="34"/>
  <c r="G17" i="34"/>
  <c r="E19" i="34"/>
  <c r="G27" i="33"/>
  <c r="F27" i="33"/>
  <c r="G55" i="33"/>
  <c r="F55" i="33"/>
  <c r="E57" i="33"/>
  <c r="F63" i="34"/>
  <c r="G63" i="34"/>
  <c r="G13" i="34"/>
  <c r="F13" i="34"/>
  <c r="G17" i="32"/>
  <c r="E19" i="32"/>
  <c r="F17" i="32"/>
  <c r="F12" i="33"/>
  <c r="G12" i="33"/>
  <c r="E14" i="33"/>
  <c r="F45" i="32"/>
  <c r="G45" i="32"/>
  <c r="E51" i="32"/>
  <c r="G71" i="33"/>
  <c r="F71" i="33"/>
  <c r="G61" i="33"/>
  <c r="F61" i="33"/>
  <c r="E66" i="33"/>
  <c r="G65" i="34"/>
  <c r="F65" i="34"/>
  <c r="G69" i="33"/>
  <c r="F69" i="33"/>
  <c r="E72" i="33"/>
  <c r="G29" i="33"/>
  <c r="F18" i="34"/>
  <c r="G18" i="34"/>
  <c r="F64" i="33"/>
  <c r="G64" i="33"/>
  <c r="G37" i="33"/>
  <c r="F37" i="33"/>
  <c r="F36" i="34"/>
  <c r="E38" i="34"/>
  <c r="G36" i="34"/>
  <c r="G31" i="34"/>
  <c r="F31" i="34"/>
  <c r="F46" i="34"/>
  <c r="G46" i="34"/>
  <c r="F41" i="32"/>
  <c r="G41" i="32"/>
  <c r="G42" i="32" s="1"/>
  <c r="E42" i="32"/>
  <c r="F14" i="22"/>
  <c r="G87" i="18"/>
  <c r="H41" i="22"/>
  <c r="F51" i="22"/>
  <c r="F19" i="22"/>
  <c r="F33" i="22"/>
  <c r="H45" i="22"/>
  <c r="D54" i="18" s="1"/>
  <c r="F57" i="22"/>
  <c r="F72" i="22"/>
  <c r="H12" i="22"/>
  <c r="D21" i="18" s="1"/>
  <c r="H55" i="22"/>
  <c r="D64" i="18" s="1"/>
  <c r="H29" i="22"/>
  <c r="D38" i="18" s="1"/>
  <c r="H18" i="22"/>
  <c r="D27" i="18" s="1"/>
  <c r="F87" i="18"/>
  <c r="H27" i="22"/>
  <c r="D36" i="18" s="1"/>
  <c r="F66" i="22"/>
  <c r="F38" i="22"/>
  <c r="H28" i="34" l="1"/>
  <c r="G37" i="18" s="1"/>
  <c r="G86" i="33"/>
  <c r="E29" i="34"/>
  <c r="F29" i="34" s="1"/>
  <c r="E86" i="33"/>
  <c r="E74" i="32"/>
  <c r="E87" i="32" s="1"/>
  <c r="E88" i="32" s="1"/>
  <c r="E91" i="32" s="1"/>
  <c r="F86" i="32"/>
  <c r="H86" i="32" s="1"/>
  <c r="E91" i="18" s="1"/>
  <c r="H86" i="22"/>
  <c r="F29" i="33"/>
  <c r="F74" i="22"/>
  <c r="F87" i="22" s="1"/>
  <c r="F88" i="22" s="1"/>
  <c r="F91" i="22" s="1"/>
  <c r="G74" i="22"/>
  <c r="G87" i="22" s="1"/>
  <c r="G88" i="22" s="1"/>
  <c r="G91" i="22" s="1"/>
  <c r="E33" i="33"/>
  <c r="E74" i="33" s="1"/>
  <c r="E87" i="33" s="1"/>
  <c r="H54" i="32"/>
  <c r="E63" i="18" s="1"/>
  <c r="D47" i="18"/>
  <c r="H54" i="34"/>
  <c r="G63" i="18" s="1"/>
  <c r="H28" i="33"/>
  <c r="F37" i="18" s="1"/>
  <c r="H12" i="32"/>
  <c r="E21" i="18" s="1"/>
  <c r="H11" i="32"/>
  <c r="E20" i="18" s="1"/>
  <c r="H70" i="32"/>
  <c r="E79" i="18" s="1"/>
  <c r="H47" i="33"/>
  <c r="F56" i="18" s="1"/>
  <c r="H48" i="34"/>
  <c r="G57" i="18" s="1"/>
  <c r="G38" i="32"/>
  <c r="H37" i="34"/>
  <c r="G46" i="18" s="1"/>
  <c r="H31" i="33"/>
  <c r="F40" i="18" s="1"/>
  <c r="H32" i="34"/>
  <c r="G41" i="18" s="1"/>
  <c r="H17" i="32"/>
  <c r="E26" i="18" s="1"/>
  <c r="H54" i="33"/>
  <c r="F63" i="18" s="1"/>
  <c r="H30" i="34"/>
  <c r="G39" i="18" s="1"/>
  <c r="H61" i="33"/>
  <c r="F70" i="18" s="1"/>
  <c r="H17" i="34"/>
  <c r="G26" i="18" s="1"/>
  <c r="H56" i="33"/>
  <c r="F65" i="18" s="1"/>
  <c r="H45" i="34"/>
  <c r="G54" i="18" s="1"/>
  <c r="H64" i="34"/>
  <c r="G73" i="18" s="1"/>
  <c r="H11" i="34"/>
  <c r="G20" i="18" s="1"/>
  <c r="H23" i="34"/>
  <c r="G32" i="18" s="1"/>
  <c r="G33" i="18" s="1"/>
  <c r="H32" i="32"/>
  <c r="E41" i="18" s="1"/>
  <c r="H71" i="32"/>
  <c r="E80" i="18" s="1"/>
  <c r="H63" i="32"/>
  <c r="E72" i="18" s="1"/>
  <c r="H62" i="32"/>
  <c r="E71" i="18" s="1"/>
  <c r="H65" i="34"/>
  <c r="G74" i="18" s="1"/>
  <c r="H13" i="34"/>
  <c r="G22" i="18" s="1"/>
  <c r="H69" i="34"/>
  <c r="G78" i="18" s="1"/>
  <c r="H36" i="32"/>
  <c r="E45" i="18" s="1"/>
  <c r="H71" i="34"/>
  <c r="G80" i="18" s="1"/>
  <c r="H55" i="34"/>
  <c r="G64" i="18" s="1"/>
  <c r="H27" i="32"/>
  <c r="E36" i="18" s="1"/>
  <c r="H56" i="32"/>
  <c r="E65" i="18" s="1"/>
  <c r="H45" i="32"/>
  <c r="E54" i="18" s="1"/>
  <c r="H55" i="32"/>
  <c r="E64" i="18" s="1"/>
  <c r="H64" i="33"/>
  <c r="F73" i="18" s="1"/>
  <c r="H71" i="33"/>
  <c r="F80" i="18" s="1"/>
  <c r="H55" i="33"/>
  <c r="F64" i="18" s="1"/>
  <c r="H37" i="32"/>
  <c r="E46" i="18" s="1"/>
  <c r="H49" i="32"/>
  <c r="E58" i="18" s="1"/>
  <c r="H46" i="32"/>
  <c r="E55" i="18" s="1"/>
  <c r="H47" i="32"/>
  <c r="E56" i="18" s="1"/>
  <c r="H64" i="32"/>
  <c r="E73" i="18" s="1"/>
  <c r="H49" i="33"/>
  <c r="F58" i="18" s="1"/>
  <c r="H62" i="33"/>
  <c r="F71" i="18" s="1"/>
  <c r="D81" i="18"/>
  <c r="D28" i="18"/>
  <c r="D60" i="18"/>
  <c r="D75" i="18"/>
  <c r="H18" i="34"/>
  <c r="G27" i="18" s="1"/>
  <c r="H27" i="34"/>
  <c r="G36" i="18" s="1"/>
  <c r="H49" i="34"/>
  <c r="G58" i="18" s="1"/>
  <c r="H46" i="34"/>
  <c r="G55" i="18" s="1"/>
  <c r="H70" i="34"/>
  <c r="G79" i="18" s="1"/>
  <c r="H31" i="34"/>
  <c r="G40" i="18" s="1"/>
  <c r="H36" i="34"/>
  <c r="G45" i="18" s="1"/>
  <c r="H63" i="34"/>
  <c r="G72" i="18" s="1"/>
  <c r="H56" i="34"/>
  <c r="G65" i="18" s="1"/>
  <c r="H61" i="34"/>
  <c r="G70" i="18" s="1"/>
  <c r="H47" i="34"/>
  <c r="G56" i="18" s="1"/>
  <c r="H50" i="34"/>
  <c r="G59" i="18" s="1"/>
  <c r="H12" i="34"/>
  <c r="G21" i="18" s="1"/>
  <c r="H41" i="34"/>
  <c r="H69" i="33"/>
  <c r="F78" i="18" s="1"/>
  <c r="H12" i="33"/>
  <c r="F21" i="18" s="1"/>
  <c r="H70" i="33"/>
  <c r="F79" i="18" s="1"/>
  <c r="H65" i="33"/>
  <c r="F74" i="18" s="1"/>
  <c r="H13" i="33"/>
  <c r="F22" i="18" s="1"/>
  <c r="H63" i="33"/>
  <c r="F72" i="18" s="1"/>
  <c r="H36" i="33"/>
  <c r="F45" i="18" s="1"/>
  <c r="H18" i="33"/>
  <c r="F27" i="18" s="1"/>
  <c r="H45" i="33"/>
  <c r="F54" i="18" s="1"/>
  <c r="H23" i="33"/>
  <c r="F32" i="18" s="1"/>
  <c r="F33" i="18" s="1"/>
  <c r="H37" i="33"/>
  <c r="F46" i="18" s="1"/>
  <c r="H27" i="33"/>
  <c r="F36" i="18" s="1"/>
  <c r="H32" i="33"/>
  <c r="F41" i="18" s="1"/>
  <c r="H46" i="33"/>
  <c r="F55" i="18" s="1"/>
  <c r="H50" i="33"/>
  <c r="F59" i="18" s="1"/>
  <c r="H17" i="33"/>
  <c r="F26" i="18" s="1"/>
  <c r="H11" i="33"/>
  <c r="F20" i="18" s="1"/>
  <c r="H30" i="33"/>
  <c r="F39" i="18" s="1"/>
  <c r="G42" i="33"/>
  <c r="H41" i="33"/>
  <c r="F50" i="18" s="1"/>
  <c r="F51" i="18" s="1"/>
  <c r="H48" i="33"/>
  <c r="F57" i="18" s="1"/>
  <c r="H60" i="32"/>
  <c r="E69" i="18" s="1"/>
  <c r="H69" i="32"/>
  <c r="E78" i="18" s="1"/>
  <c r="H61" i="32"/>
  <c r="E70" i="18" s="1"/>
  <c r="H65" i="32"/>
  <c r="E74" i="18" s="1"/>
  <c r="H18" i="32"/>
  <c r="E27" i="18" s="1"/>
  <c r="H50" i="32"/>
  <c r="E59" i="18" s="1"/>
  <c r="H28" i="32"/>
  <c r="E37" i="18" s="1"/>
  <c r="H29" i="32"/>
  <c r="E38" i="18" s="1"/>
  <c r="H31" i="32"/>
  <c r="E40" i="18" s="1"/>
  <c r="H13" i="32"/>
  <c r="E22" i="18" s="1"/>
  <c r="F42" i="32"/>
  <c r="H41" i="32"/>
  <c r="E50" i="18" s="1"/>
  <c r="E51" i="18" s="1"/>
  <c r="D42" i="18"/>
  <c r="D66" i="18"/>
  <c r="H42" i="22"/>
  <c r="D50" i="18"/>
  <c r="D51" i="18" s="1"/>
  <c r="H24" i="22"/>
  <c r="D31" i="18"/>
  <c r="D33" i="18" s="1"/>
  <c r="D23" i="18"/>
  <c r="E33" i="18"/>
  <c r="H24" i="32"/>
  <c r="G24" i="33"/>
  <c r="F24" i="32"/>
  <c r="F24" i="34"/>
  <c r="H66" i="22"/>
  <c r="F57" i="33"/>
  <c r="G57" i="33"/>
  <c r="F51" i="32"/>
  <c r="F57" i="32"/>
  <c r="F38" i="34"/>
  <c r="G14" i="33"/>
  <c r="G33" i="33"/>
  <c r="G57" i="32"/>
  <c r="H38" i="22"/>
  <c r="F51" i="33"/>
  <c r="G19" i="32"/>
  <c r="G14" i="32"/>
  <c r="F66" i="32"/>
  <c r="F38" i="33"/>
  <c r="G51" i="33"/>
  <c r="H72" i="22"/>
  <c r="F66" i="34"/>
  <c r="G72" i="32"/>
  <c r="F14" i="34"/>
  <c r="F19" i="33"/>
  <c r="F72" i="33"/>
  <c r="F72" i="32"/>
  <c r="G57" i="34"/>
  <c r="G19" i="33"/>
  <c r="G38" i="34"/>
  <c r="G66" i="33"/>
  <c r="G72" i="33"/>
  <c r="G51" i="32"/>
  <c r="F14" i="33"/>
  <c r="G19" i="34"/>
  <c r="F14" i="32"/>
  <c r="G51" i="34"/>
  <c r="G33" i="32"/>
  <c r="F66" i="33"/>
  <c r="G72" i="34"/>
  <c r="G66" i="32"/>
  <c r="F33" i="32"/>
  <c r="F19" i="32"/>
  <c r="F19" i="34"/>
  <c r="F72" i="34"/>
  <c r="G66" i="34"/>
  <c r="F38" i="32"/>
  <c r="F51" i="34"/>
  <c r="F57" i="34"/>
  <c r="G38" i="33"/>
  <c r="G14" i="34"/>
  <c r="H85" i="22"/>
  <c r="H33" i="22"/>
  <c r="H19" i="22"/>
  <c r="H57" i="22"/>
  <c r="H14" i="22"/>
  <c r="H51" i="22"/>
  <c r="F28" i="18" l="1"/>
  <c r="E86" i="34"/>
  <c r="G29" i="34"/>
  <c r="H29" i="34" s="1"/>
  <c r="G38" i="18" s="1"/>
  <c r="G42" i="18" s="1"/>
  <c r="G50" i="18"/>
  <c r="G51" i="18" s="1"/>
  <c r="H42" i="34"/>
  <c r="E33" i="34"/>
  <c r="E74" i="34" s="1"/>
  <c r="E87" i="34" s="1"/>
  <c r="G74" i="32"/>
  <c r="G87" i="32" s="1"/>
  <c r="G88" i="32" s="1"/>
  <c r="G91" i="32" s="1"/>
  <c r="F33" i="33"/>
  <c r="F74" i="33" s="1"/>
  <c r="F87" i="33" s="1"/>
  <c r="F86" i="33"/>
  <c r="H86" i="33" s="1"/>
  <c r="E88" i="33"/>
  <c r="E91" i="33" s="1"/>
  <c r="F74" i="32"/>
  <c r="F87" i="32" s="1"/>
  <c r="F86" i="34"/>
  <c r="G74" i="33"/>
  <c r="G87" i="33" s="1"/>
  <c r="G88" i="33" s="1"/>
  <c r="G91" i="33" s="1"/>
  <c r="E28" i="18"/>
  <c r="F33" i="34"/>
  <c r="F74" i="34" s="1"/>
  <c r="H29" i="33"/>
  <c r="F38" i="18" s="1"/>
  <c r="F42" i="18" s="1"/>
  <c r="H74" i="22"/>
  <c r="G47" i="18"/>
  <c r="D90" i="18"/>
  <c r="H24" i="34"/>
  <c r="E66" i="18"/>
  <c r="E47" i="18"/>
  <c r="E23" i="18"/>
  <c r="F66" i="18"/>
  <c r="G66" i="18"/>
  <c r="H42" i="33"/>
  <c r="G81" i="18"/>
  <c r="G28" i="18"/>
  <c r="E90" i="18"/>
  <c r="G23" i="18"/>
  <c r="E81" i="18"/>
  <c r="H24" i="33"/>
  <c r="F90" i="18"/>
  <c r="H42" i="32"/>
  <c r="E60" i="18"/>
  <c r="F23" i="18"/>
  <c r="E42" i="18"/>
  <c r="F75" i="18"/>
  <c r="F60" i="18"/>
  <c r="G60" i="18"/>
  <c r="E75" i="18"/>
  <c r="F47" i="18"/>
  <c r="F81" i="18"/>
  <c r="G75" i="18"/>
  <c r="G90" i="18"/>
  <c r="H57" i="32"/>
  <c r="H72" i="32"/>
  <c r="H19" i="34"/>
  <c r="H51" i="34"/>
  <c r="H66" i="33"/>
  <c r="H72" i="33"/>
  <c r="H14" i="34"/>
  <c r="H66" i="34"/>
  <c r="H72" i="34"/>
  <c r="H51" i="32"/>
  <c r="H38" i="34"/>
  <c r="H14" i="32"/>
  <c r="H38" i="33"/>
  <c r="H33" i="32"/>
  <c r="H51" i="33"/>
  <c r="H57" i="33"/>
  <c r="H38" i="32"/>
  <c r="H57" i="34"/>
  <c r="H19" i="32"/>
  <c r="H14" i="33"/>
  <c r="H66" i="32"/>
  <c r="H19" i="33"/>
  <c r="E88" i="34" l="1"/>
  <c r="E91" i="34" s="1"/>
  <c r="G86" i="34"/>
  <c r="H86" i="34" s="1"/>
  <c r="G91" i="18" s="1"/>
  <c r="G33" i="34"/>
  <c r="G74" i="34" s="1"/>
  <c r="G87" i="34" s="1"/>
  <c r="H87" i="33"/>
  <c r="H88" i="33" s="1"/>
  <c r="F88" i="32"/>
  <c r="F91" i="32" s="1"/>
  <c r="H87" i="32"/>
  <c r="H88" i="32" s="1"/>
  <c r="F87" i="34"/>
  <c r="H74" i="32"/>
  <c r="F88" i="33"/>
  <c r="F91" i="33" s="1"/>
  <c r="F91" i="18"/>
  <c r="H33" i="34"/>
  <c r="H74" i="34" s="1"/>
  <c r="H33" i="33"/>
  <c r="H74" i="33" s="1"/>
  <c r="H87" i="22"/>
  <c r="G88" i="34" l="1"/>
  <c r="G91" i="34" s="1"/>
  <c r="F88" i="34"/>
  <c r="F91" i="34" s="1"/>
  <c r="H87" i="34"/>
  <c r="H88" i="34" s="1"/>
  <c r="H91" i="34" s="1"/>
  <c r="H91" i="33"/>
  <c r="F92" i="18"/>
  <c r="F93" i="18" s="1"/>
  <c r="H91" i="32"/>
  <c r="D91" i="18"/>
  <c r="H88" i="22"/>
  <c r="E92" i="18"/>
  <c r="E93" i="18" s="1"/>
  <c r="E95" i="18" s="1"/>
  <c r="E101" i="18" s="1"/>
  <c r="F95" i="18" l="1"/>
  <c r="F101" i="18" s="1"/>
  <c r="G92" i="18"/>
  <c r="G93" i="18" s="1"/>
  <c r="H91" i="22"/>
  <c r="D92" i="18"/>
  <c r="D93" i="18" s="1"/>
  <c r="D95" i="18" s="1"/>
  <c r="D101" i="18" s="1"/>
  <c r="E102" i="18" s="1"/>
  <c r="E100" i="18" s="1"/>
  <c r="E126" i="18"/>
  <c r="F102" i="18" l="1"/>
  <c r="F100" i="18" s="1"/>
  <c r="F126" i="18"/>
  <c r="D97" i="18"/>
  <c r="D126" i="18"/>
  <c r="G95" i="18"/>
  <c r="G101" i="18" s="1"/>
  <c r="G102" i="18" s="1"/>
  <c r="G100" i="18" s="1"/>
  <c r="E14" i="18" l="1"/>
  <c r="G126" i="18"/>
  <c r="D127" i="18"/>
  <c r="E127" i="18"/>
  <c r="F127" i="18"/>
  <c r="G127" i="18"/>
  <c r="E15" i="18" l="1"/>
  <c r="E97" i="18" s="1"/>
  <c r="F14" i="18" s="1"/>
  <c r="F15" i="18" l="1"/>
  <c r="F97" i="18" s="1"/>
  <c r="G14" i="18" s="1"/>
  <c r="G15" i="18" l="1"/>
  <c r="G97" i="18" s="1"/>
</calcChain>
</file>

<file path=xl/comments1.xml><?xml version="1.0" encoding="utf-8"?>
<comments xmlns="http://schemas.openxmlformats.org/spreadsheetml/2006/main">
  <authors>
    <author>Kim, Song Ki</author>
  </authors>
  <commentList>
    <comment ref="C104" authorId="0">
      <text>
        <r>
          <rPr>
            <b/>
            <sz val="9"/>
            <color indexed="81"/>
            <rFont val="Tahoma"/>
            <family val="2"/>
          </rPr>
          <t>Kim, Song Ki:</t>
        </r>
        <r>
          <rPr>
            <sz val="9"/>
            <color indexed="81"/>
            <rFont val="Tahoma"/>
            <family val="2"/>
          </rPr>
          <t xml:space="preserve">
Calculations based on Scorecard and other Variables.</t>
        </r>
      </text>
    </comment>
  </commentList>
</comments>
</file>

<file path=xl/comments2.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comments3.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comments4.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6"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comments5.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sharedStrings.xml><?xml version="1.0" encoding="utf-8"?>
<sst xmlns="http://schemas.openxmlformats.org/spreadsheetml/2006/main" count="1188" uniqueCount="359">
  <si>
    <t>Table of Contents</t>
  </si>
  <si>
    <t>Benefits Category</t>
  </si>
  <si>
    <t>Description of Benefits</t>
  </si>
  <si>
    <t>Benefits Quantified</t>
  </si>
  <si>
    <t>Provides accurate, timely, complete, and relevant information to decision-makers across the broad spectrum of NIEM participating agencies.</t>
  </si>
  <si>
    <t>Reduces the design and development time needed to build and implement robust, agile information sharing capabilities using NIEMs common exchange standards, vocabulary, reusable data components and tools.</t>
  </si>
  <si>
    <t>Provides greater efficiency, effectiveness, and return on investment (ROI) in operations and decision making by providing users with a set of reusable data components, as well as the tools needed for discovering and developing common and universal data for effective information exchange.</t>
  </si>
  <si>
    <t>3.0 Information Sharing Quality</t>
  </si>
  <si>
    <t>5.0 Standardization</t>
  </si>
  <si>
    <t>1.0 Data Components &amp; Tools Reusability</t>
  </si>
  <si>
    <t xml:space="preserve">2.0 Design &amp; Development </t>
  </si>
  <si>
    <t>Appendix</t>
  </si>
  <si>
    <t>Scenario Planning</t>
  </si>
  <si>
    <t>Requirements Analysis</t>
  </si>
  <si>
    <t>Publish IEPD</t>
  </si>
  <si>
    <t>Year 0</t>
  </si>
  <si>
    <t>Year 1</t>
  </si>
  <si>
    <t xml:space="preserve">Year 2 </t>
  </si>
  <si>
    <t xml:space="preserve">Year 3 </t>
  </si>
  <si>
    <t xml:space="preserve">  Establish a Process</t>
  </si>
  <si>
    <t xml:space="preserve">  Establish a Vision</t>
  </si>
  <si>
    <t xml:space="preserve">  Develop Scenarios</t>
  </si>
  <si>
    <t xml:space="preserve">  Define Information Content and Context</t>
  </si>
  <si>
    <t xml:space="preserve">  Build Domain Model</t>
  </si>
  <si>
    <t xml:space="preserve">  Mapping</t>
  </si>
  <si>
    <t xml:space="preserve">  Define Terms with Exchange Partner</t>
  </si>
  <si>
    <t>Mapping &amp; Modeling</t>
  </si>
  <si>
    <t>Building &amp; Validating</t>
  </si>
  <si>
    <t xml:space="preserve">  Identify NIEM Reference Schemas</t>
  </si>
  <si>
    <t xml:space="preserve">  Create NIEM Subset Schema</t>
  </si>
  <si>
    <t xml:space="preserve">  Create Extension Schema</t>
  </si>
  <si>
    <t xml:space="preserve">  Create Exchange Schema</t>
  </si>
  <si>
    <t xml:space="preserve">  Build Constraint Schema</t>
  </si>
  <si>
    <t xml:space="preserve">  Validate Schema</t>
  </si>
  <si>
    <t>Assemble &amp; Document</t>
  </si>
  <si>
    <t xml:space="preserve">  Develop NIEM Meta-Data Schema</t>
  </si>
  <si>
    <t xml:space="preserve">  Assemble Required IEPD Artifacts</t>
  </si>
  <si>
    <t xml:space="preserve">  Publish IEPD to Repository</t>
  </si>
  <si>
    <t>Benefit Category/Benefit Identified</t>
  </si>
  <si>
    <t>Year 2</t>
  </si>
  <si>
    <t>Year 3</t>
  </si>
  <si>
    <t>Data Components &amp; Tools Reusability</t>
  </si>
  <si>
    <t>Design &amp; Development</t>
  </si>
  <si>
    <t>Information Sharing Quality</t>
  </si>
  <si>
    <t>Standardization</t>
  </si>
  <si>
    <t>Net Present Value (NPV)</t>
  </si>
  <si>
    <t>Internal Rate of Return (IRR)</t>
  </si>
  <si>
    <t>Return on Investment (ROI)</t>
  </si>
  <si>
    <t>Payback</t>
  </si>
  <si>
    <t>Financial Calculations</t>
  </si>
  <si>
    <t>Quantitative Benefits Cash Flow</t>
  </si>
  <si>
    <t>Cost Variables</t>
  </si>
  <si>
    <t>Training (Onetime Cost)</t>
  </si>
  <si>
    <t xml:space="preserve">Discount Factors </t>
  </si>
  <si>
    <t xml:space="preserve">There is an Existing IEPD </t>
  </si>
  <si>
    <t>Total Quantitative Benefits</t>
  </si>
  <si>
    <t>6.0 Interoperability</t>
  </si>
  <si>
    <t>Creating new components in NIEM or migrating them from an existing standard to produce NIEM components facilitates cross-domain interoperability.</t>
  </si>
  <si>
    <t>Quality</t>
  </si>
  <si>
    <t>Interoperability</t>
  </si>
  <si>
    <t>Analysis</t>
  </si>
  <si>
    <t>Activity</t>
  </si>
  <si>
    <t>Initial NIEM Exchange</t>
  </si>
  <si>
    <t>Custom XML Exchange</t>
  </si>
  <si>
    <t>Same Data</t>
  </si>
  <si>
    <t>New Data</t>
  </si>
  <si>
    <t>NIEM Escalation</t>
  </si>
  <si>
    <t>XML Escalation</t>
  </si>
  <si>
    <t>Establish a Vision</t>
  </si>
  <si>
    <t>Low</t>
  </si>
  <si>
    <t>NA</t>
  </si>
  <si>
    <t>Establish a Process</t>
  </si>
  <si>
    <t>Medium</t>
  </si>
  <si>
    <t>Develop Scenarios</t>
  </si>
  <si>
    <t>Define Information Content and Context</t>
  </si>
  <si>
    <t>Build Domain Model</t>
  </si>
  <si>
    <t>High</t>
  </si>
  <si>
    <t>Mapping and Modeling</t>
  </si>
  <si>
    <t>Mapping</t>
  </si>
  <si>
    <t>3.2</t>
  </si>
  <si>
    <t>Define Terms with Exchange Partner</t>
  </si>
  <si>
    <t>Building and Validating</t>
  </si>
  <si>
    <t>Identify NIEM Reference Schemas</t>
  </si>
  <si>
    <t>4.2.1</t>
  </si>
  <si>
    <t>Create NIEM Subset Schema</t>
  </si>
  <si>
    <t>4.2.2</t>
  </si>
  <si>
    <t>Create Extension Schema or Entire Schema (for Custom XML)</t>
  </si>
  <si>
    <t>4.2.3</t>
  </si>
  <si>
    <t>Create Exchange Schema</t>
  </si>
  <si>
    <t>Build Constraint Schema</t>
  </si>
  <si>
    <t>Validate Schema</t>
  </si>
  <si>
    <t>Assemble and Document</t>
  </si>
  <si>
    <t>Develop NIEM Meta-Data Schema</t>
  </si>
  <si>
    <t>Assemble Required IEPD Artifacts</t>
  </si>
  <si>
    <t>Publish IEPD to Repository</t>
  </si>
  <si>
    <t>Simple</t>
  </si>
  <si>
    <t>Moderate</t>
  </si>
  <si>
    <t>Complicated</t>
  </si>
  <si>
    <t xml:space="preserve">Hourly Rates </t>
  </si>
  <si>
    <t>Model Overlap</t>
  </si>
  <si>
    <t>Term Definition (3.0) and Extension Schema (4.2.2) Escalation Factors</t>
  </si>
  <si>
    <t>NIEM</t>
  </si>
  <si>
    <t>All Elements Already Exist in NIEM</t>
  </si>
  <si>
    <t>Many (&gt;50%) Elements Already Exist in NIEM</t>
  </si>
  <si>
    <t>Some (&lt;50%) Elements Already Exist in NIEM</t>
  </si>
  <si>
    <t>No Elements Already Exist in NIEM</t>
  </si>
  <si>
    <t>Number of additional exchanges that the organization plans on developing to exchange different data</t>
  </si>
  <si>
    <t>NIEM Training Cost</t>
  </si>
  <si>
    <t>Discount Factors</t>
  </si>
  <si>
    <t>Value</t>
  </si>
  <si>
    <t>Does an IEPD already exist</t>
  </si>
  <si>
    <t>Number of new elements that do not exist in the NIEM model</t>
  </si>
  <si>
    <t>NIEM Exchange</t>
  </si>
  <si>
    <t>Initial Exchange</t>
  </si>
  <si>
    <t>Additional Exchange (Same Data)</t>
  </si>
  <si>
    <t>Additional Exchange
(New Data)</t>
  </si>
  <si>
    <t>Create Extension Schema</t>
  </si>
  <si>
    <t>Training</t>
  </si>
  <si>
    <t>Subtotal Discount Factors</t>
  </si>
  <si>
    <t>Total Cost</t>
  </si>
  <si>
    <t>IEPD Reuse</t>
  </si>
  <si>
    <t>Number of Additional Exchanges</t>
  </si>
  <si>
    <t>Exchange Complexity</t>
  </si>
  <si>
    <t>Existing IEPD Reuse</t>
  </si>
  <si>
    <t>Reuse of NIEM Data Elements</t>
  </si>
  <si>
    <t>Level of Effort</t>
  </si>
  <si>
    <t>Resource Category</t>
  </si>
  <si>
    <t>A</t>
  </si>
  <si>
    <t>B</t>
  </si>
  <si>
    <t>C</t>
  </si>
  <si>
    <t>D</t>
  </si>
  <si>
    <t>E</t>
  </si>
  <si>
    <t>F</t>
  </si>
  <si>
    <t>G</t>
  </si>
  <si>
    <t>H</t>
  </si>
  <si>
    <t>I</t>
  </si>
  <si>
    <t>J</t>
  </si>
  <si>
    <t>K</t>
  </si>
  <si>
    <t>L</t>
  </si>
  <si>
    <t>0.0 Sample Values</t>
  </si>
  <si>
    <t>IEPD Phase</t>
  </si>
  <si>
    <t>None</t>
  </si>
  <si>
    <t>Project Variables</t>
  </si>
  <si>
    <t>Number of Additional Systems</t>
  </si>
  <si>
    <t>IEPD Exist?</t>
  </si>
  <si>
    <t>Yes</t>
  </si>
  <si>
    <t>Number of Planned Additional Exchanges</t>
  </si>
  <si>
    <t>Number of Elements New to NIEM</t>
  </si>
  <si>
    <t>&lt; 50%</t>
  </si>
  <si>
    <t>Complexity of exchange</t>
  </si>
  <si>
    <t>Additional Exchange (New Data)</t>
  </si>
  <si>
    <t>Reoccurring Costs</t>
  </si>
  <si>
    <t>-</t>
  </si>
  <si>
    <t>Subtotal Recurring Cost</t>
  </si>
  <si>
    <t>Existing IEPD</t>
  </si>
  <si>
    <t>Adjustment for NIEM Element Existence</t>
  </si>
  <si>
    <t>&gt; 50%</t>
  </si>
  <si>
    <t>Cost Model (IEPD Exists, &lt;50% Elements Exist)</t>
  </si>
  <si>
    <t>Cost Model (IEPD Exists, &gt;50% Elements Exist)</t>
  </si>
  <si>
    <t>Design NIEM Instance Creation Rules (Sender)</t>
  </si>
  <si>
    <t>Design NIEM Instance middleware routing rules based on data exchange</t>
  </si>
  <si>
    <t>Document Business Use Cases for data exchange</t>
  </si>
  <si>
    <t>Document Business Test Cases for data exchange</t>
  </si>
  <si>
    <t>MOU's for Data Exchange and Network Services</t>
  </si>
  <si>
    <t>Develop middleware data exchange business process and routing rules based on the business case</t>
  </si>
  <si>
    <t>Unit Test - sending NIEM Instance and business triggering events</t>
  </si>
  <si>
    <t>Unit Test - middleware for NIEM data exchange instance routing rules based on the business case</t>
  </si>
  <si>
    <t>Integration Test - send NIEM Instance based on testing scenarios</t>
  </si>
  <si>
    <t>Deploy NIEM Instance Sending Software</t>
  </si>
  <si>
    <t>Deploy NIEM Instance Receiving Software</t>
  </si>
  <si>
    <t>Deploy NIEM Instance routing and business rule logic</t>
  </si>
  <si>
    <t>Internal</t>
  </si>
  <si>
    <t>External</t>
  </si>
  <si>
    <t>Rates</t>
  </si>
  <si>
    <t>Activities</t>
  </si>
  <si>
    <t>Hardware Cost</t>
  </si>
  <si>
    <t>Software Cost</t>
  </si>
  <si>
    <t>Cost</t>
  </si>
  <si>
    <t>Data Exchange Testing</t>
  </si>
  <si>
    <t>Data Exchange Deployment</t>
  </si>
  <si>
    <t>Deploy Instance Sending Software</t>
  </si>
  <si>
    <t>Deploy Instance Receiving Software</t>
  </si>
  <si>
    <t>Deploy Instance routing and business rule logic</t>
  </si>
  <si>
    <t>Unit Test - sending Instance and business triggering events</t>
  </si>
  <si>
    <t>Unit Test - middleware for data exchange instance routing rules based on the business case</t>
  </si>
  <si>
    <t>Integration Test - send Instance based on testing scenarios</t>
  </si>
  <si>
    <t>Design Instance Creation Rules (Sender)</t>
  </si>
  <si>
    <t>Design Instance middleware routing rules based on data exchange</t>
  </si>
  <si>
    <t>0.0 Dashboard</t>
  </si>
  <si>
    <t>Dashboard</t>
  </si>
  <si>
    <t>Data Components
Tools</t>
  </si>
  <si>
    <t>Number of exchange partners</t>
  </si>
  <si>
    <t>Current</t>
  </si>
  <si>
    <t>Overview</t>
  </si>
  <si>
    <t>Back to Overview</t>
  </si>
  <si>
    <t>Back to Dashboard</t>
  </si>
  <si>
    <t>Other Costs</t>
  </si>
  <si>
    <t>Funding</t>
  </si>
  <si>
    <t>Additional Costs</t>
  </si>
  <si>
    <t>Funded Amount</t>
  </si>
  <si>
    <t>User satisfaction with information sharing process (in % users satisfied)</t>
  </si>
  <si>
    <t>Time to complete an exchange (in seconds)</t>
  </si>
  <si>
    <t>Number of manual vs automated steps involved in the information sharing process</t>
  </si>
  <si>
    <t>Performance Metrics</t>
  </si>
  <si>
    <t>Metric</t>
  </si>
  <si>
    <t>6 Months</t>
  </si>
  <si>
    <t>12 Months</t>
  </si>
  <si>
    <t>18 Months</t>
  </si>
  <si>
    <t>24 Months</t>
  </si>
  <si>
    <t>Manual</t>
  </si>
  <si>
    <t>Automated</t>
  </si>
  <si>
    <t>Goal</t>
  </si>
  <si>
    <t>30 Months</t>
  </si>
  <si>
    <t>36 Months</t>
  </si>
  <si>
    <t>Actual (Time Elapsed after NIEM Implementation)</t>
  </si>
  <si>
    <t>The Overall Instructions section describes how the cost model is structured and how tabs and cells are colored to indicate their function and if they require user input. The Steps for Completing the Model section provides step-by-step instructions for completing each input tab. The Outputs section describes the outputs generated by the model.</t>
  </si>
  <si>
    <t>Overall Instructions</t>
  </si>
  <si>
    <t>Outputs</t>
  </si>
  <si>
    <t>The model will generate outputs in the Dashboard, Analysis, and Cash Flow tabs based on analysis of the inputs provided in the previous tabs.</t>
  </si>
  <si>
    <t>Instructions</t>
  </si>
  <si>
    <t>Average Rate</t>
  </si>
  <si>
    <t>Hardware</t>
  </si>
  <si>
    <t>Software</t>
  </si>
  <si>
    <t>Initial Cost for NIEM vs XML by category (6.0)</t>
  </si>
  <si>
    <t>Cost of NIEM vs XML as # of Exchanges Increase (6.0)</t>
  </si>
  <si>
    <t>Identify Reference Schemas</t>
  </si>
  <si>
    <t>Create Subset Schema</t>
  </si>
  <si>
    <t>Develop Meta-Data Schema</t>
  </si>
  <si>
    <t>Moreover, the model takes into account research and discussions that the NIEM Engagement Process team (PMO) has conducted and assessed.  This model incorporates not only the costs that are associated with NIEM but also the additional benefits and value of using NIEM in an organization.  It also allows for organizations to interact and follow-up with NIEM PMO for future checkpoints and updates on status of the implementation.</t>
  </si>
  <si>
    <t>Exchange Variables</t>
  </si>
  <si>
    <t>6.0 Metrics</t>
  </si>
  <si>
    <t xml:space="preserve">The assumption that the cost of developing NIEM exchanges decreases as you increase the number of exchanges is the foundation of the NIEM value proposition. This is attributed to the experience gained from developing the initial exchange along with opportunities to reuse elements of the original exchange (and other existing in the repository) as well as the potential to save on overhead (such as training). This underlying assumption is conveyed in the cost model as escalation factors for developing exchanges beyond the original information exchange. </t>
  </si>
  <si>
    <t>Analysis Initial - Sum of the amounts per resource type by taking the Level of Effort entered into 1.0 Activities tab and looks up the value in the 3.0 Cost Variables tab (Level of Effort table) and matches against the Exchange Complexity that is set in 2.0 Exchange Variables and multiplies the resource against the number of hours estimated and the hourly rate.</t>
  </si>
  <si>
    <t>Data Exchange Design Implementation</t>
  </si>
  <si>
    <t>Design Instance Processing Rules (Receiver)</t>
  </si>
  <si>
    <t>Data Exchange Development and Implementation</t>
  </si>
  <si>
    <t>Develop Instance and Implement Creation Rules</t>
  </si>
  <si>
    <t>Develop Instance receiver and related system processing rules</t>
  </si>
  <si>
    <t>Unit Test - receiving Instance and related display in receiving system</t>
  </si>
  <si>
    <t>Integration Test - receiving Instance based on testing scenarios</t>
  </si>
  <si>
    <t>Integration Test - routing and business transformation rules for the instance</t>
  </si>
  <si>
    <t>Design NIEM Instance Processing Rules (Receiver)</t>
  </si>
  <si>
    <t>Develop NIEM Instance and Implement Creation Rules</t>
  </si>
  <si>
    <t>Develop NIEM Instance receiver and related system processing rules</t>
  </si>
  <si>
    <t>Unit Test - receiving NIEM Instance and related display in receiving system</t>
  </si>
  <si>
    <t>Integration Test - receiving NIEM Instance based on testing scenarios</t>
  </si>
  <si>
    <t>Integration Test - routing and business transformation rules for the NIEM instance</t>
  </si>
  <si>
    <t>Adjustment Because All Elements Already Exist in NIEM</t>
  </si>
  <si>
    <t>Scalability</t>
  </si>
  <si>
    <t>Design Costs
Development Costs</t>
  </si>
  <si>
    <t>4.0 Scalability</t>
  </si>
  <si>
    <t>Provides a valuable framework, infrastructure and governance that is scalable beyond the current domains for other cross-government information exchange challenges.</t>
  </si>
  <si>
    <t>The application of standard methodologies for scenario-based, information exchange mapping and modeling, and standards development improves efficiency and effectiveness.</t>
  </si>
  <si>
    <t>Title</t>
  </si>
  <si>
    <t>Amount Type</t>
  </si>
  <si>
    <t>Grants</t>
  </si>
  <si>
    <t>Misc</t>
  </si>
  <si>
    <t>Total</t>
  </si>
  <si>
    <t>General Funding</t>
  </si>
  <si>
    <t>Special Funding</t>
  </si>
  <si>
    <t>The purpose of this model is to help and assist organizations to understand the true value of NIEM and what costs are associated with it.  It will provide value by identifying the quantitative costs that are associated with implementing NIEM into an organization and provides a baseline funding amount needed for implementation.</t>
  </si>
  <si>
    <t xml:space="preserve">The model is based on several assumptions and variables which are inputted by the user, and it is an attempt to measure quantifiable elements of the NIEM value proposition. This model has been modified from the original pilot NIEM Cost Model to account for additional costs and variables associated with the NIEM Engagement Process.  It takes into account the assumption that an organization will continue to increase the number of exchanges and partners that it will have for the information sharing and exchange initiative.  </t>
  </si>
  <si>
    <t>Cost Type</t>
  </si>
  <si>
    <t>Community Outreach</t>
  </si>
  <si>
    <t>Additional Discount</t>
  </si>
  <si>
    <t>Adjustment of cost benefit from becoming a part of the NIEM Community</t>
  </si>
  <si>
    <t>Market Research</t>
  </si>
  <si>
    <t>Marketing Material</t>
  </si>
  <si>
    <t>Initial Exchange from Previous Year</t>
  </si>
  <si>
    <t>Adjustment from Previous Year</t>
  </si>
  <si>
    <t>Number of Exchanges</t>
  </si>
  <si>
    <t>Average Cost Savings per Exchange</t>
  </si>
  <si>
    <t>Average Cost Savings per Year</t>
  </si>
  <si>
    <t>Average Cost per Exchange</t>
  </si>
  <si>
    <t>NO</t>
  </si>
  <si>
    <t xml:space="preserve">Analysis Additional Exchange (Same Data) - Calculated total based on initial cost of that activity and the discount percentage given in the 1.0 Activities tab for reuse of the same data with a different exchange partner. </t>
  </si>
  <si>
    <t xml:space="preserve">Analysis Additional Exchange (New Data) - If there is a new exchange that is being created rather than reusing the previously defined exchange, then the costs to develop this new exchange is incurred but at a discount depending on the phase/step in the IEPD lifecycle.  </t>
  </si>
  <si>
    <t xml:space="preserve">Discount Factor (Existing Elements) - If there are elements that are defined in this exchange that exist in the NIEM core, then there is a discount associated with the amount of elements that exist in the NIEM core. </t>
  </si>
  <si>
    <t>Discount Factor (Existing IEPD) - If there is an existing IEPD out there that is the same exchange type.</t>
  </si>
  <si>
    <t>National Information Exchange Model</t>
  </si>
  <si>
    <t>Introduction</t>
  </si>
  <si>
    <t>Type</t>
  </si>
  <si>
    <t>Number of additional systems (beyond initial exchange) that will use the information</t>
  </si>
  <si>
    <t>Complexity of the exchange</t>
  </si>
  <si>
    <t>Exchange Factors</t>
  </si>
  <si>
    <t>Outreach Costs</t>
  </si>
  <si>
    <t>Discount Factor</t>
  </si>
  <si>
    <r>
      <rPr>
        <b/>
        <sz val="10"/>
        <color theme="3"/>
        <rFont val="Arial"/>
        <family val="2"/>
      </rPr>
      <t>Activities:</t>
    </r>
    <r>
      <rPr>
        <b/>
        <sz val="10"/>
        <rFont val="Arial"/>
        <family val="2"/>
      </rPr>
      <t xml:space="preserve">
</t>
    </r>
    <r>
      <rPr>
        <sz val="10"/>
        <rFont val="Arial"/>
        <family val="2"/>
      </rPr>
      <t xml:space="preserve">The Activities tab allows the user to enter estimated levels of effort for developing an initial NIEM exchange vs a custom exchange. Information exchange development is divided into the six IEPD lifecycle phases and each phase is broken down into individual tasks.  Each task may involve six potential resource categories: Engineer, Architect, Technical, Program Management (PM), Business Analyst, and Subject Matter Expert (SME).  </t>
    </r>
  </si>
  <si>
    <r>
      <t xml:space="preserve">1. Assign levels-of-effort - </t>
    </r>
    <r>
      <rPr>
        <sz val="10"/>
        <rFont val="Arial"/>
        <family val="2"/>
      </rPr>
      <t xml:space="preserve">Level-of-effort estimates are used in conjunction with a complexity variable (entered in the Exchange Variables tab) to assign hours to each task in the IEPD lifecycle. This is done by looking up the hours in the level-of-effort table on the Cost Variables tab using the complexity variable and the selected level-of-effort.  Levels-of-effort should be entered for two scenarios: 1) developing an initial NIEM exchange and 2) developing a custom exchange. </t>
    </r>
    <r>
      <rPr>
        <b/>
        <sz val="10"/>
        <rFont val="Arial"/>
        <family val="2"/>
      </rPr>
      <t xml:space="preserve">
a. </t>
    </r>
    <r>
      <rPr>
        <sz val="10"/>
        <rFont val="Arial"/>
        <family val="2"/>
      </rPr>
      <t>Select an estimated level-of-effort (N/A, Low, Medium, or High) for each task and each resource category (columns D-O). If a resource is not expected to participate in a particular task, select N/A. If the estimated level-of-effort is unknown, keep the default value.</t>
    </r>
  </si>
  <si>
    <r>
      <t>2. Update the escalation factors (if appropriate) -</t>
    </r>
    <r>
      <rPr>
        <sz val="10"/>
        <rFont val="Arial"/>
        <family val="2"/>
      </rPr>
      <t xml:space="preserve"> Escalation factors account for the reduced level-of-effort needed to develop additional exchanges beyond the initial exchange. The factors are a percentage (0% to 100%) of the initial level-of-effort for each task. As with the levels-of-effort, the escalation factors may vary for NIEM exchanges and custom exchanges. Escalation factors will differ if an organization is developing an exchange for new data as opposed to if the organization is replicating an existing exchange (same data).
</t>
    </r>
    <r>
      <rPr>
        <b/>
        <sz val="10"/>
        <rFont val="Arial"/>
        <family val="2"/>
      </rPr>
      <t xml:space="preserve">a. </t>
    </r>
    <r>
      <rPr>
        <sz val="10"/>
        <rFont val="Arial"/>
        <family val="2"/>
      </rPr>
      <t>Review the NIEM and Custom escalation factors (columns T-Q) for the development of additional exchanges (beyond the initial exchange) to understand how the cost of additional exchanges will be discounted.</t>
    </r>
    <r>
      <rPr>
        <b/>
        <sz val="10"/>
        <rFont val="Arial"/>
        <family val="2"/>
      </rPr>
      <t xml:space="preserve">
b. </t>
    </r>
    <r>
      <rPr>
        <sz val="10"/>
        <rFont val="Arial"/>
        <family val="2"/>
      </rPr>
      <t xml:space="preserve">Update the escalation factors, if appropriate. Changing the escalation factors is not recommended for those who are new to NIEM. </t>
    </r>
  </si>
  <si>
    <r>
      <rPr>
        <b/>
        <sz val="10"/>
        <color theme="4" tint="-0.24994659260841701"/>
        <rFont val="Arial"/>
        <family val="2"/>
      </rPr>
      <t>Exchange Variables:</t>
    </r>
    <r>
      <rPr>
        <sz val="10"/>
        <color theme="1"/>
        <rFont val="Arial"/>
        <family val="2"/>
      </rPr>
      <t xml:space="preserve">
</t>
    </r>
    <r>
      <rPr>
        <sz val="10"/>
        <rFont val="Arial"/>
        <family val="2"/>
      </rPr>
      <t>The Exchange Variables tab allows the user to enter variables about the exchange, including: IEPD reuse, number of additional exchanges, exchange complexity, and data element reuse.</t>
    </r>
  </si>
  <si>
    <r>
      <t>1. Enter the number of times the new IEPD will be reused -</t>
    </r>
    <r>
      <rPr>
        <sz val="10"/>
        <rFont val="Arial"/>
        <family val="2"/>
      </rPr>
      <t xml:space="preserve"> Specify the number of times that the IEPD developed in the initial effort will be reused by different systems to share information. (Enter for all years known)</t>
    </r>
  </si>
  <si>
    <r>
      <t xml:space="preserve">2. Enter the number of additional exchanges - </t>
    </r>
    <r>
      <rPr>
        <sz val="10"/>
        <rFont val="Arial"/>
        <family val="2"/>
      </rPr>
      <t>Specify the number of individual exchanges/IEPDs that will be developed.  (Enter for all years known)</t>
    </r>
  </si>
  <si>
    <r>
      <rPr>
        <b/>
        <sz val="10"/>
        <color theme="4" tint="-0.24994659260841701"/>
        <rFont val="Arial"/>
        <family val="2"/>
      </rPr>
      <t>Cost Variables:</t>
    </r>
    <r>
      <rPr>
        <sz val="10"/>
        <color theme="1"/>
        <rFont val="Arial"/>
        <family val="2"/>
      </rPr>
      <t xml:space="preserve">
</t>
    </r>
    <r>
      <rPr>
        <sz val="10"/>
        <rFont val="Arial"/>
        <family val="2"/>
      </rPr>
      <t>The Cost Variables tab allows the user to enter estimated cost variables for developing and implementing the exchange, including: hours associated with levels-of-effort, hourly rates, level of integration, and other additional costs.</t>
    </r>
  </si>
  <si>
    <r>
      <rPr>
        <b/>
        <sz val="10"/>
        <rFont val="Arial"/>
        <family val="2"/>
      </rPr>
      <t>Tab Color Key:</t>
    </r>
    <r>
      <rPr>
        <sz val="10"/>
        <rFont val="Arial"/>
        <family val="2"/>
      </rPr>
      <t xml:space="preserve"> </t>
    </r>
    <r>
      <rPr>
        <b/>
        <sz val="10"/>
        <color rgb="FF3366FF"/>
        <rFont val="Arial"/>
        <family val="2"/>
      </rPr>
      <t>Blue</t>
    </r>
    <r>
      <rPr>
        <b/>
        <sz val="10"/>
        <rFont val="Arial"/>
        <family val="2"/>
      </rPr>
      <t xml:space="preserve"> </t>
    </r>
    <r>
      <rPr>
        <sz val="10"/>
        <rFont val="Arial"/>
        <family val="2"/>
      </rPr>
      <t xml:space="preserve">tabs require user input, </t>
    </r>
    <r>
      <rPr>
        <b/>
        <sz val="10"/>
        <color rgb="FFFFCC00"/>
        <rFont val="Arial"/>
        <family val="2"/>
      </rPr>
      <t>orange</t>
    </r>
    <r>
      <rPr>
        <sz val="10"/>
        <rFont val="Arial"/>
        <family val="2"/>
      </rPr>
      <t xml:space="preserve"> tabs contain outputs and should not be manipulated. 
</t>
    </r>
    <r>
      <rPr>
        <b/>
        <sz val="10"/>
        <rFont val="Arial"/>
        <family val="2"/>
      </rPr>
      <t>Font Color Key:</t>
    </r>
    <r>
      <rPr>
        <sz val="10"/>
        <rFont val="Arial"/>
        <family val="2"/>
      </rPr>
      <t xml:space="preserve"> </t>
    </r>
    <r>
      <rPr>
        <b/>
        <sz val="10"/>
        <color rgb="FF0000CC"/>
        <rFont val="Arial"/>
        <family val="2"/>
      </rPr>
      <t>Blue</t>
    </r>
    <r>
      <rPr>
        <sz val="10"/>
        <rFont val="Arial"/>
        <family val="2"/>
      </rPr>
      <t xml:space="preserve"> text should be updated by the user, </t>
    </r>
    <r>
      <rPr>
        <b/>
        <sz val="10"/>
        <color rgb="FF009999"/>
        <rFont val="Arial"/>
        <family val="2"/>
      </rPr>
      <t>green</t>
    </r>
    <r>
      <rPr>
        <b/>
        <sz val="10"/>
        <rFont val="Arial"/>
        <family val="2"/>
      </rPr>
      <t xml:space="preserve"> </t>
    </r>
    <r>
      <rPr>
        <sz val="10"/>
        <rFont val="Arial"/>
        <family val="2"/>
      </rPr>
      <t xml:space="preserve">text is default data and should only be updated if appropriate, cells with </t>
    </r>
    <r>
      <rPr>
        <b/>
        <sz val="10"/>
        <rFont val="Arial"/>
        <family val="2"/>
      </rPr>
      <t>black</t>
    </r>
    <r>
      <rPr>
        <sz val="10"/>
        <rFont val="Arial"/>
        <family val="2"/>
      </rPr>
      <t xml:space="preserve"> text are locked and should not be manipulated.</t>
    </r>
  </si>
  <si>
    <t>Base Year Analysis</t>
  </si>
  <si>
    <t>Base Year</t>
  </si>
  <si>
    <t>Year 1 Analysis</t>
  </si>
  <si>
    <t>Total Recurring Costs</t>
  </si>
  <si>
    <t>Year 2 Analysis</t>
  </si>
  <si>
    <t>Year 3 Analysis</t>
  </si>
  <si>
    <t>Recurring Costs</t>
  </si>
  <si>
    <t>Summary Analysis</t>
  </si>
  <si>
    <t>Four-Year NIEM Cost Summary</t>
  </si>
  <si>
    <t>Revenue</t>
  </si>
  <si>
    <t>N/A</t>
  </si>
  <si>
    <t>Expenses</t>
  </si>
  <si>
    <t>Scenario Planning Total</t>
  </si>
  <si>
    <t>Requirements Analysis Total</t>
  </si>
  <si>
    <t>Mapping &amp; Modeling Total</t>
  </si>
  <si>
    <t>Building &amp; Validating Total</t>
  </si>
  <si>
    <t>Total Publish IEPD</t>
  </si>
  <si>
    <t>Data Exchange Development and Implementation Total</t>
  </si>
  <si>
    <t>Data Exchange Design Implementation Total</t>
  </si>
  <si>
    <t>Total Expenses</t>
  </si>
  <si>
    <t>Balance</t>
  </si>
  <si>
    <t>Total Revenue</t>
  </si>
  <si>
    <t>Average Costs</t>
  </si>
  <si>
    <r>
      <rPr>
        <b/>
        <sz val="10"/>
        <color theme="3"/>
        <rFont val="Arial"/>
        <family val="2"/>
      </rPr>
      <t>Summary Analysis:</t>
    </r>
    <r>
      <rPr>
        <sz val="10"/>
        <color theme="1"/>
        <rFont val="Arial"/>
        <family val="2"/>
      </rPr>
      <t xml:space="preserve">
</t>
    </r>
    <r>
      <rPr>
        <sz val="10"/>
        <rFont val="Arial"/>
        <family val="2"/>
      </rPr>
      <t xml:space="preserve">The Summary Analysis tab gives a comparison of the costs to develop and implement a NIEM exchange vs a Custom exchange over 4 years. This tab along with the yearly analysis tabs can be used to develop a baseline budget for the exchange initiative. </t>
    </r>
  </si>
  <si>
    <r>
      <rPr>
        <b/>
        <sz val="10"/>
        <color theme="3"/>
        <rFont val="Arial"/>
        <family val="2"/>
      </rPr>
      <t>Yearly Analysis:</t>
    </r>
    <r>
      <rPr>
        <sz val="10"/>
        <color theme="1"/>
        <rFont val="Arial"/>
        <family val="2"/>
      </rPr>
      <t xml:space="preserve">
The Yearly Analysis tabs provide:
• Itemized recurring costs for the initial NIEM exchange
• Itemized recurring costs for additional NIEM exchanges using the same and/or new data
• Itemized costs for the Custom exchange for each of the exchanges listed above
• Discount factors for IEPD reuse and reuse of data elements
• Total Costs for each exchange
• Cost comparisons between the NIEM exchange and the Custom exchange by each line item </t>
    </r>
  </si>
  <si>
    <t>Estimated Levels of Effort (Based on Education/Skill Level of FTE)</t>
  </si>
  <si>
    <t>Governance</t>
  </si>
  <si>
    <t>Number of Elements</t>
  </si>
  <si>
    <t>Number of elements in exchange</t>
  </si>
  <si>
    <t>Political goodwill, strong leadership and project management, and engaged stakeholders</t>
  </si>
  <si>
    <t>Strong</t>
  </si>
  <si>
    <t>Weak</t>
  </si>
  <si>
    <t>0-50</t>
  </si>
  <si>
    <t>50-150</t>
  </si>
  <si>
    <t>150 or more</t>
  </si>
  <si>
    <r>
      <t xml:space="preserve">3. Select the strength level of governance </t>
    </r>
    <r>
      <rPr>
        <sz val="10"/>
        <rFont val="Arial"/>
        <family val="2"/>
      </rPr>
      <t>-- Select a projected level of the strength of governance (strong, moderate or weak) for developing the NIEM exchange. The level of political goodwill, consensus among stakeholders, leadership capabilities, etc. will affect the exchange complexity and time it takes to complete tasks.</t>
    </r>
  </si>
  <si>
    <t xml:space="preserve">Total Cost to Build Exchange for the Year - Identifies the number of new exchanges and reused exchanges for the year and sums up the costs associated with all exchanges together for the year.  </t>
  </si>
  <si>
    <t>Level of Effort in Hours per Complexity Level</t>
  </si>
  <si>
    <t>d</t>
  </si>
  <si>
    <r>
      <rPr>
        <b/>
        <sz val="10"/>
        <rFont val="Arial"/>
        <family val="2"/>
      </rPr>
      <t xml:space="preserve">Default Data: </t>
    </r>
    <r>
      <rPr>
        <sz val="10"/>
        <rFont val="Arial"/>
        <family val="2"/>
      </rPr>
      <t xml:space="preserve">Tabs requiring user input contain pre-populated default data values in </t>
    </r>
    <r>
      <rPr>
        <b/>
        <sz val="10"/>
        <color rgb="FF009999"/>
        <rFont val="Arial"/>
        <family val="2"/>
      </rPr>
      <t>green</t>
    </r>
    <r>
      <rPr>
        <sz val="10"/>
        <rFont val="Arial"/>
        <family val="2"/>
      </rPr>
      <t>. These default values are derived from averages of actual data gathered from organizations that have implemented NIEM and custom XML exchanges.  The default data are intended to provide a baseline, but the actual data for each organization may differ from this baseline. Default values should be replaced with actual values for the organization being assessed wherever appropriate.</t>
    </r>
  </si>
  <si>
    <r>
      <t>4. Select the number of elements in the exchange -</t>
    </r>
    <r>
      <rPr>
        <sz val="10"/>
        <rFont val="Arial"/>
        <family val="2"/>
      </rPr>
      <t xml:space="preserve"> Select a projected number of elements in the exchange (0-50, 50-150, or 150 or more). The number of elements will affect the exchange complexity as more elements require a higher level of effort and more time to complete tasks.</t>
    </r>
  </si>
  <si>
    <r>
      <t xml:space="preserve">5. Update hours associated with level-of-effort (if appropriate) - </t>
    </r>
    <r>
      <rPr>
        <sz val="10"/>
        <rFont val="Arial"/>
        <family val="2"/>
      </rPr>
      <t>The Level-of-Effort table is used to assign hours for completing each task in the Activities tab based on the complexity of the exchange (selected in the Exchange Variables tab) and the Level-of-Effort estimates (from the Activities tab).</t>
    </r>
  </si>
  <si>
    <t>Cost Model Instructions</t>
  </si>
  <si>
    <t>The Cost Model contains three tabs that require the user to input data and five tabs that generate outputs. To complete the model, enter all required data in the input tabs in sequential order (Exchange Variables, Cost Variables, Activities). Analysis based on these inputs will automatically be generated in the output tabs (Summary Analysis and Base YR - YR3 tabs).  The Appendix provides supporting information regarding the formulas and baseline data.</t>
  </si>
  <si>
    <t>Steps to Complete the Cost Model</t>
  </si>
  <si>
    <r>
      <t xml:space="preserve">6. Adjust the level of integration (if appropriate) - </t>
    </r>
    <r>
      <rPr>
        <sz val="10"/>
        <rFont val="Arial"/>
        <family val="2"/>
      </rPr>
      <t xml:space="preserve">The Level of Integration table accounts for how varying degrees of overlap between data elements for the planned information exchange and existing NIEM data elements will affect development costs. The model makes the baseline assumption that some (&lt;50%) of the elements used in the exchange already exist and have been defined in the NIEM model.  If this is not the case, adjust the model for different degrees of overlap by changing the Reuse of NIEM Data Elements variable in the Variables tab.   
</t>
    </r>
    <r>
      <rPr>
        <b/>
        <sz val="10"/>
        <rFont val="Arial"/>
        <family val="2"/>
      </rPr>
      <t>Example:</t>
    </r>
    <r>
      <rPr>
        <sz val="10"/>
        <rFont val="Arial"/>
        <family val="2"/>
      </rPr>
      <t xml:space="preserve">  If all the elements in the planned exchange are already defined in NIEM, then the model will subtract 100% of the costs associated with defining terms with exchange partners and building the extension schema for the NIEM exchange.  If many (&gt;50%) of the elements exist in NIEM, the model will subtract 50% of the costs associated with these tasks.  If no elements already exist in NIEM, the model will increase the costs by 50% for both tasks.</t>
    </r>
  </si>
  <si>
    <r>
      <t>7. Specify if existing IEPD will be reused -</t>
    </r>
    <r>
      <rPr>
        <sz val="10"/>
        <rFont val="Arial"/>
        <family val="2"/>
      </rPr>
      <t xml:space="preserve"> Select "YES"</t>
    </r>
    <r>
      <rPr>
        <b/>
        <sz val="10"/>
        <rFont val="Arial"/>
        <family val="2"/>
      </rPr>
      <t xml:space="preserve"> </t>
    </r>
    <r>
      <rPr>
        <sz val="10"/>
        <rFont val="Arial"/>
        <family val="2"/>
      </rPr>
      <t>if an existing IEPD can be leveraged to develop the new NIEM exchange.  When true, the model will subtract some of the costs associated with developing the initial IEPD, but it does not affect the costs associated with additional development efforts.</t>
    </r>
  </si>
  <si>
    <r>
      <t xml:space="preserve">8. Select the % of existing data elements that will be reused - </t>
    </r>
    <r>
      <rPr>
        <sz val="10"/>
        <rFont val="Arial"/>
        <family val="2"/>
      </rPr>
      <t>Estimate the percentage of data elements in the new exchange that already exist in the NIEM data model and select the corresponding drop-down option.  This variable is used to adjust the cost of activities related to "Define Terms with Exchange Partner" (Tasks 3.2) and "Create Extension Schema or Entire Schema" (Task 4.2.2).  Cost adjustment percentages can be found in the Level of Integration Table in the Cost Variables tab.  The actual adjustments are made in the "Discount Factors" section of the Analysis tab.</t>
    </r>
  </si>
  <si>
    <r>
      <t xml:space="preserve">1. Update hourly rates and select resource types - </t>
    </r>
    <r>
      <rPr>
        <sz val="10"/>
        <rFont val="Arial"/>
        <family val="2"/>
      </rPr>
      <t xml:space="preserve">The Hourly Rates table is used to calculate dollar values for each task by providing hourly rates for the resource categories.  
</t>
    </r>
    <r>
      <rPr>
        <b/>
        <sz val="10"/>
        <rFont val="Arial"/>
        <family val="2"/>
      </rPr>
      <t>a.</t>
    </r>
    <r>
      <rPr>
        <sz val="10"/>
        <rFont val="Arial"/>
        <family val="2"/>
      </rPr>
      <t xml:space="preserve"> Identify the type of resource that will be used for each resource category: internal (agency/organization staff), external (contractors), or blended (both internal and external). 
</t>
    </r>
    <r>
      <rPr>
        <b/>
        <sz val="10"/>
        <rFont val="Arial"/>
        <family val="2"/>
      </rPr>
      <t xml:space="preserve">b. </t>
    </r>
    <r>
      <rPr>
        <sz val="10"/>
        <rFont val="Arial"/>
        <family val="2"/>
      </rPr>
      <t>Update the labor rates as needed to reflect actual hourly rates for internal, external, and blended resources (as applicable).</t>
    </r>
  </si>
  <si>
    <r>
      <t>2. Enter estimated additional costs -</t>
    </r>
    <r>
      <rPr>
        <sz val="10"/>
        <rFont val="Arial"/>
        <family val="2"/>
      </rPr>
      <t xml:space="preserve"> In addition to labor costs, the model assumes that there are training, hardware, and software costs associated with developing and implementing an exchange. 
</t>
    </r>
    <r>
      <rPr>
        <b/>
        <sz val="10"/>
        <rFont val="Arial"/>
        <family val="2"/>
      </rPr>
      <t xml:space="preserve">a. </t>
    </r>
    <r>
      <rPr>
        <sz val="10"/>
        <rFont val="Arial"/>
        <family val="2"/>
      </rPr>
      <t xml:space="preserve">Enter the estimated cost to train resources in NIEM development. While NIEM training courses are offered free of charge, this estimate should reflect the total labor costs for resources to take the training. The default value is based on an estimate of 20 total hours multiplied by a blended hourly rate (Cost Variables - crosspoint between Blended Rate and Average Rate (H19).
</t>
    </r>
    <r>
      <rPr>
        <b/>
        <sz val="10"/>
        <rFont val="Arial"/>
        <family val="2"/>
      </rPr>
      <t xml:space="preserve">b. </t>
    </r>
    <r>
      <rPr>
        <sz val="10"/>
        <rFont val="Arial"/>
        <family val="2"/>
      </rPr>
      <t>Enter the estimated cost for hardware required for the exchange, such as servers.</t>
    </r>
    <r>
      <rPr>
        <b/>
        <sz val="10"/>
        <rFont val="Arial"/>
        <family val="2"/>
      </rPr>
      <t xml:space="preserve">
c. </t>
    </r>
    <r>
      <rPr>
        <sz val="10"/>
        <rFont val="Arial"/>
        <family val="2"/>
      </rPr>
      <t>Enter the estimated cost for software required for the exchange.</t>
    </r>
  </si>
  <si>
    <r>
      <t>3. Enter estimated funding amounts -</t>
    </r>
    <r>
      <rPr>
        <sz val="10"/>
        <rFont val="Arial"/>
        <family val="2"/>
      </rPr>
      <t xml:space="preserve"> The Funding Amounts are the approved/estimated funding amounts that are associated with Information Sharing and Exchange initiatives. 
</t>
    </r>
    <r>
      <rPr>
        <b/>
        <sz val="10"/>
        <rFont val="Arial"/>
        <family val="2"/>
      </rPr>
      <t xml:space="preserve">a. </t>
    </r>
    <r>
      <rPr>
        <sz val="10"/>
        <rFont val="Arial"/>
        <family val="2"/>
      </rPr>
      <t>Enter the estimated funding for each year for the next 3 years (if known).</t>
    </r>
  </si>
  <si>
    <r>
      <t>4. Enter estimated outreach costs  -</t>
    </r>
    <r>
      <rPr>
        <sz val="10"/>
        <rFont val="Arial"/>
        <family val="2"/>
      </rPr>
      <t xml:space="preserve"> Joining NIEM defrays any existing outreach costs related to information exchange. User should input the current outreach costs associated with information exchange for the organization.</t>
    </r>
  </si>
  <si>
    <t>Business/Data Analyst</t>
  </si>
  <si>
    <t>EDM Architect</t>
  </si>
  <si>
    <t>Enterprise Architect</t>
  </si>
  <si>
    <t>Programmer</t>
  </si>
  <si>
    <t>Project Manager</t>
  </si>
  <si>
    <t>Senior Management</t>
  </si>
  <si>
    <t>SOA Programmer</t>
  </si>
  <si>
    <t>Test Analyst</t>
  </si>
  <si>
    <t>Service Lead</t>
  </si>
  <si>
    <t>Business Stakeholders</t>
  </si>
  <si>
    <t>NIEM Cost Model v. 2.0 (Low Participation)</t>
  </si>
  <si>
    <t>NIEM Cost Model v. 2.0 (Medium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</si>
</sst>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_(&quot;$&quot;* #,##0_);_(&quot;$&quot;* \(#,##0\);_(&quot;$&quot;* &quot;-&quot;??_);_(@_)"/>
    <numFmt numFmtId="168" formatCode="[$-409]mmmm\ d\,\ yyyy;@"/>
  </numFmts>
  <fonts count="55" x14ac:knownFonts="1">
    <font>
      <sz val="11"/>
      <color theme="1"/>
      <name val="Calibri"/>
      <family val="2"/>
      <scheme val="minor"/>
    </font>
    <font>
      <sz val="10"/>
      <name val="Arial"/>
      <family val="2"/>
    </font>
    <font>
      <b/>
      <sz val="10"/>
      <name val="Arial"/>
      <family val="2"/>
    </font>
    <font>
      <sz val="10"/>
      <name val="Tahoma"/>
      <family val="2"/>
    </font>
    <font>
      <sz val="11"/>
      <color theme="1"/>
      <name val="Calibri"/>
      <family val="2"/>
      <scheme val="minor"/>
    </font>
    <font>
      <b/>
      <sz val="16"/>
      <color theme="1"/>
      <name val="Calibri"/>
      <family val="2"/>
      <scheme val="minor"/>
    </font>
    <font>
      <b/>
      <sz val="10"/>
      <name val="Calibri"/>
      <family val="2"/>
      <scheme val="minor"/>
    </font>
    <font>
      <sz val="10"/>
      <name val="Calibri"/>
      <family val="2"/>
      <scheme val="minor"/>
    </font>
    <font>
      <i/>
      <sz val="10"/>
      <name val="Calibri"/>
      <family val="2"/>
      <scheme val="minor"/>
    </font>
    <font>
      <b/>
      <sz val="26"/>
      <name val="Calibri"/>
      <family val="2"/>
      <scheme val="minor"/>
    </font>
    <font>
      <sz val="10"/>
      <name val="Arial"/>
      <family val="2"/>
    </font>
    <font>
      <sz val="10"/>
      <color indexed="9"/>
      <name val="Arial"/>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i/>
      <sz val="13"/>
      <color theme="1"/>
      <name val="Calibri"/>
      <family val="2"/>
      <scheme val="minor"/>
    </font>
    <font>
      <b/>
      <sz val="9"/>
      <color rgb="FFFFFFFF"/>
      <name val="Verdana"/>
      <family val="2"/>
    </font>
    <font>
      <sz val="9"/>
      <name val="Verdana"/>
      <family val="2"/>
    </font>
    <font>
      <b/>
      <sz val="9"/>
      <name val="Verdana"/>
      <family val="2"/>
    </font>
    <font>
      <b/>
      <sz val="11"/>
      <name val="Calibri"/>
      <family val="2"/>
      <scheme val="minor"/>
    </font>
    <font>
      <sz val="11"/>
      <name val="Calibri"/>
      <family val="2"/>
      <scheme val="minor"/>
    </font>
    <font>
      <sz val="11"/>
      <color indexed="8"/>
      <name val="Calibri"/>
      <family val="2"/>
      <scheme val="minor"/>
    </font>
    <font>
      <b/>
      <sz val="10"/>
      <color theme="1"/>
      <name val="Calibri"/>
      <family val="2"/>
      <scheme val="minor"/>
    </font>
    <font>
      <sz val="10"/>
      <color theme="0"/>
      <name val="Calibri"/>
      <family val="2"/>
      <scheme val="minor"/>
    </font>
    <font>
      <b/>
      <sz val="11"/>
      <name val="Calibri"/>
      <family val="2"/>
    </font>
    <font>
      <sz val="11"/>
      <name val="Calibri"/>
      <family val="2"/>
    </font>
    <font>
      <sz val="8"/>
      <name val="Calibri"/>
      <family val="2"/>
      <scheme val="minor"/>
    </font>
    <font>
      <u/>
      <sz val="11"/>
      <color theme="11"/>
      <name val="Calibri"/>
      <family val="2"/>
      <scheme val="minor"/>
    </font>
    <font>
      <b/>
      <i/>
      <sz val="48"/>
      <color rgb="FF1E5883"/>
      <name val="Arial"/>
      <family val="2"/>
    </font>
    <font>
      <b/>
      <i/>
      <sz val="36"/>
      <color rgb="FF1E5883"/>
      <name val="Arial"/>
      <family val="2"/>
    </font>
    <font>
      <b/>
      <i/>
      <sz val="28"/>
      <color rgb="FF1E5883"/>
      <name val="Arial"/>
      <family val="2"/>
    </font>
    <font>
      <b/>
      <i/>
      <sz val="20"/>
      <color rgb="FF1E5883"/>
      <name val="Arial"/>
      <family val="2"/>
    </font>
    <font>
      <b/>
      <i/>
      <sz val="14"/>
      <color theme="0"/>
      <name val="Arial"/>
      <family val="2"/>
    </font>
    <font>
      <u/>
      <sz val="10"/>
      <name val="Arial"/>
      <family val="2"/>
    </font>
    <font>
      <b/>
      <sz val="12"/>
      <color theme="0"/>
      <name val="Arial"/>
      <family val="2"/>
    </font>
    <font>
      <b/>
      <sz val="12"/>
      <name val="Arial"/>
      <family val="2"/>
    </font>
    <font>
      <sz val="10"/>
      <color rgb="FF0000CC"/>
      <name val="Arial"/>
      <family val="2"/>
    </font>
    <font>
      <sz val="10"/>
      <color rgb="FF009999"/>
      <name val="Arial"/>
      <family val="2"/>
    </font>
    <font>
      <b/>
      <sz val="10"/>
      <color theme="0"/>
      <name val="Arial"/>
      <family val="2"/>
    </font>
    <font>
      <sz val="10"/>
      <color theme="0"/>
      <name val="Arial"/>
      <family val="2"/>
    </font>
    <font>
      <sz val="10"/>
      <color theme="1"/>
      <name val="Arial"/>
      <family val="2"/>
    </font>
    <font>
      <b/>
      <sz val="10"/>
      <color theme="1"/>
      <name val="Arial"/>
      <family val="2"/>
    </font>
    <font>
      <b/>
      <sz val="10"/>
      <color rgb="FF3366FF"/>
      <name val="Arial"/>
      <family val="2"/>
    </font>
    <font>
      <b/>
      <sz val="10"/>
      <color rgb="FFFFCC00"/>
      <name val="Arial"/>
      <family val="2"/>
    </font>
    <font>
      <i/>
      <sz val="10"/>
      <name val="Arial"/>
      <family val="2"/>
    </font>
    <font>
      <b/>
      <sz val="10"/>
      <color theme="4" tint="-0.24994659260841701"/>
      <name val="Arial"/>
      <family val="2"/>
    </font>
    <font>
      <b/>
      <sz val="10"/>
      <color theme="3"/>
      <name val="Arial"/>
      <family val="2"/>
    </font>
    <font>
      <b/>
      <sz val="10"/>
      <color rgb="FF0000CC"/>
      <name val="Arial"/>
      <family val="2"/>
    </font>
    <font>
      <b/>
      <sz val="10"/>
      <color rgb="FF009999"/>
      <name val="Arial"/>
      <family val="2"/>
    </font>
    <font>
      <b/>
      <sz val="26"/>
      <name val="Arial"/>
      <family val="2"/>
    </font>
    <font>
      <b/>
      <sz val="16"/>
      <color theme="1"/>
      <name val="Arial"/>
      <family val="2"/>
    </font>
    <font>
      <u/>
      <sz val="10"/>
      <color theme="10"/>
      <name val="Arial"/>
      <family val="2"/>
    </font>
    <font>
      <b/>
      <sz val="16"/>
      <color theme="0"/>
      <name val="Calibri"/>
      <family val="2"/>
      <scheme val="minor"/>
    </font>
    <font>
      <sz val="10"/>
      <color rgb="FF00CC99"/>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rgb="FFA6A6A6"/>
        <bgColor indexed="64"/>
      </patternFill>
    </fill>
    <fill>
      <patternFill patternType="solid">
        <fgColor rgb="FFFFC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1E5883"/>
        <bgColor indexed="64"/>
      </patternFill>
    </fill>
    <fill>
      <patternFill patternType="solid">
        <fgColor theme="3" tint="-0.499984740745262"/>
        <bgColor indexed="64"/>
      </patternFill>
    </fill>
  </fills>
  <borders count="90">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ck">
        <color auto="1"/>
      </right>
      <top/>
      <bottom style="thick">
        <color auto="1"/>
      </bottom>
      <diagonal/>
    </border>
    <border>
      <left/>
      <right style="thick">
        <color auto="1"/>
      </right>
      <top style="thick">
        <color auto="1"/>
      </top>
      <bottom style="medium">
        <color auto="1"/>
      </bottom>
      <diagonal/>
    </border>
    <border>
      <left/>
      <right/>
      <top style="thick">
        <color auto="1"/>
      </top>
      <bottom style="medium">
        <color auto="1"/>
      </bottom>
      <diagonal/>
    </border>
    <border>
      <left/>
      <right style="thick">
        <color auto="1"/>
      </right>
      <top/>
      <bottom style="medium">
        <color auto="1"/>
      </bottom>
      <diagonal/>
    </border>
    <border>
      <left/>
      <right style="medium">
        <color auto="1"/>
      </right>
      <top/>
      <bottom style="thick">
        <color auto="1"/>
      </bottom>
      <diagonal/>
    </border>
    <border>
      <left/>
      <right/>
      <top/>
      <bottom style="thick">
        <color auto="1"/>
      </bottom>
      <diagonal/>
    </border>
    <border>
      <left style="thick">
        <color auto="1"/>
      </left>
      <right/>
      <top style="thick">
        <color auto="1"/>
      </top>
      <bottom style="medium">
        <color auto="1"/>
      </bottom>
      <diagonal/>
    </border>
    <border>
      <left style="medium">
        <color auto="1"/>
      </left>
      <right style="thick">
        <color auto="1"/>
      </right>
      <top/>
      <bottom style="thick">
        <color auto="1"/>
      </bottom>
      <diagonal/>
    </border>
    <border>
      <left/>
      <right style="medium">
        <color auto="1"/>
      </right>
      <top style="thick">
        <color auto="1"/>
      </top>
      <bottom style="medium">
        <color auto="1"/>
      </bottom>
      <diagonal/>
    </border>
    <border>
      <left style="medium">
        <color auto="1"/>
      </left>
      <right style="thick">
        <color auto="1"/>
      </right>
      <top/>
      <bottom style="medium">
        <color auto="1"/>
      </bottom>
      <diagonal/>
    </border>
    <border>
      <left style="medium">
        <color auto="1"/>
      </left>
      <right/>
      <top/>
      <bottom style="thick">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style="medium">
        <color auto="1"/>
      </top>
      <bottom style="medium">
        <color auto="1"/>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right/>
      <top/>
      <bottom style="medium">
        <color rgb="FF1E5883"/>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auto="1"/>
      </right>
      <top style="thin">
        <color indexed="64"/>
      </top>
      <bottom style="medium">
        <color indexed="64"/>
      </bottom>
      <diagonal/>
    </border>
    <border>
      <left style="medium">
        <color auto="1"/>
      </left>
      <right/>
      <top style="thin">
        <color indexed="64"/>
      </top>
      <bottom style="medium">
        <color indexed="64"/>
      </bottom>
      <diagonal/>
    </border>
    <border>
      <left style="thin">
        <color auto="1"/>
      </left>
      <right style="thin">
        <color indexed="64"/>
      </right>
      <top style="thin">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auto="1"/>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right style="medium">
        <color auto="1"/>
      </right>
      <top style="thin">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bottom/>
      <diagonal/>
    </border>
  </borders>
  <cellStyleXfs count="12">
    <xf numFmtId="0" fontId="0" fillId="0" borderId="0"/>
    <xf numFmtId="0" fontId="1" fillId="0" borderId="0"/>
    <xf numFmtId="43" fontId="3" fillId="0" borderId="0" applyFont="0" applyFill="0" applyBorder="0" applyAlignment="0" applyProtection="0"/>
    <xf numFmtId="44" fontId="4" fillId="0" borderId="0" applyFon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xf numFmtId="0" fontId="10" fillId="0" borderId="0"/>
    <xf numFmtId="9" fontId="10"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cellStyleXfs>
  <cellXfs count="493">
    <xf numFmtId="0" fontId="0" fillId="0" borderId="0" xfId="0"/>
    <xf numFmtId="0" fontId="1" fillId="0" borderId="0" xfId="1"/>
    <xf numFmtId="0" fontId="5" fillId="2" borderId="0" xfId="7" applyFont="1" applyFill="1" applyBorder="1"/>
    <xf numFmtId="9" fontId="5" fillId="2" borderId="0" xfId="7" applyNumberFormat="1" applyFont="1" applyFill="1" applyBorder="1"/>
    <xf numFmtId="0" fontId="0" fillId="0" borderId="0" xfId="0" applyAlignment="1">
      <alignment horizontal="justify" vertical="center"/>
    </xf>
    <xf numFmtId="0" fontId="17" fillId="4" borderId="2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8" fillId="3" borderId="28" xfId="0" applyFont="1" applyFill="1" applyBorder="1" applyAlignment="1">
      <alignment horizontal="left" vertical="center" wrapText="1"/>
    </xf>
    <xf numFmtId="0" fontId="18" fillId="3" borderId="22" xfId="0" applyFont="1" applyFill="1" applyBorder="1" applyAlignment="1">
      <alignment horizontal="left" vertical="center" wrapText="1"/>
    </xf>
    <xf numFmtId="9" fontId="18" fillId="3" borderId="22" xfId="0" applyNumberFormat="1" applyFont="1" applyFill="1" applyBorder="1" applyAlignment="1">
      <alignment horizontal="center" vertical="center" wrapText="1"/>
    </xf>
    <xf numFmtId="0" fontId="17" fillId="4" borderId="29" xfId="0" applyFont="1" applyFill="1" applyBorder="1" applyAlignment="1">
      <alignment horizontal="justify" vertical="center" wrapText="1"/>
    </xf>
    <xf numFmtId="0" fontId="17" fillId="4" borderId="25" xfId="0" applyFont="1" applyFill="1" applyBorder="1" applyAlignment="1">
      <alignment horizontal="center" vertical="center" wrapText="1"/>
    </xf>
    <xf numFmtId="0" fontId="17" fillId="4" borderId="23" xfId="0" applyFont="1" applyFill="1" applyBorder="1" applyAlignment="1">
      <alignment horizontal="justify" vertical="center" wrapText="1"/>
    </xf>
    <xf numFmtId="0" fontId="17" fillId="4" borderId="29" xfId="0" applyFont="1" applyFill="1" applyBorder="1" applyAlignment="1">
      <alignment horizontal="center" vertical="center" wrapText="1"/>
    </xf>
    <xf numFmtId="0" fontId="18" fillId="3" borderId="22" xfId="0" applyFont="1" applyFill="1" applyBorder="1" applyAlignment="1">
      <alignment horizontal="right" vertical="center" wrapText="1"/>
    </xf>
    <xf numFmtId="0" fontId="18" fillId="3" borderId="20" xfId="0" applyFont="1" applyFill="1" applyBorder="1" applyAlignment="1">
      <alignment horizontal="left" vertical="center" wrapText="1"/>
    </xf>
    <xf numFmtId="0" fontId="18" fillId="3" borderId="28" xfId="0" applyFont="1" applyFill="1" applyBorder="1" applyAlignment="1">
      <alignment horizontal="right" vertical="center" wrapText="1"/>
    </xf>
    <xf numFmtId="8" fontId="18" fillId="3" borderId="22" xfId="0" applyNumberFormat="1" applyFont="1" applyFill="1" applyBorder="1" applyAlignment="1">
      <alignment horizontal="right" vertical="center" wrapText="1"/>
    </xf>
    <xf numFmtId="0" fontId="17" fillId="4" borderId="33"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33" xfId="0" applyFont="1" applyFill="1" applyBorder="1" applyAlignment="1">
      <alignment horizontal="center" vertical="center" wrapText="1"/>
    </xf>
    <xf numFmtId="6" fontId="18" fillId="3" borderId="22" xfId="0" applyNumberFormat="1" applyFont="1" applyFill="1" applyBorder="1" applyAlignment="1">
      <alignment horizontal="center" vertical="center" wrapText="1"/>
    </xf>
    <xf numFmtId="6" fontId="18" fillId="3" borderId="33" xfId="0" applyNumberFormat="1" applyFont="1" applyFill="1" applyBorder="1" applyAlignment="1">
      <alignment horizontal="center" vertical="center" wrapText="1"/>
    </xf>
    <xf numFmtId="6" fontId="18" fillId="3" borderId="34" xfId="0" applyNumberFormat="1" applyFont="1" applyFill="1" applyBorder="1" applyAlignment="1">
      <alignment horizontal="center" vertical="center" wrapText="1"/>
    </xf>
    <xf numFmtId="6" fontId="18" fillId="3" borderId="30" xfId="0" applyNumberFormat="1"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9" fillId="3" borderId="0" xfId="0" applyFont="1" applyFill="1" applyBorder="1" applyAlignment="1">
      <alignment horizontal="right" vertical="center" wrapText="1"/>
    </xf>
    <xf numFmtId="6" fontId="18" fillId="3" borderId="0" xfId="0" applyNumberFormat="1" applyFont="1" applyFill="1" applyBorder="1" applyAlignment="1">
      <alignment horizontal="center" vertical="center" wrapText="1"/>
    </xf>
    <xf numFmtId="0" fontId="16" fillId="0" borderId="13" xfId="0" applyFont="1" applyBorder="1" applyAlignment="1">
      <alignment horizontal="justify" vertical="center"/>
    </xf>
    <xf numFmtId="0" fontId="0" fillId="0" borderId="16" xfId="0" applyBorder="1" applyAlignment="1">
      <alignment horizontal="justify" vertical="center"/>
    </xf>
    <xf numFmtId="0" fontId="0" fillId="0" borderId="0" xfId="0" applyBorder="1"/>
    <xf numFmtId="0" fontId="0" fillId="0" borderId="17" xfId="0" applyBorder="1"/>
    <xf numFmtId="0" fontId="17" fillId="3" borderId="0" xfId="0" applyFont="1" applyFill="1" applyBorder="1" applyAlignment="1">
      <alignment horizontal="center" vertical="center" wrapText="1"/>
    </xf>
    <xf numFmtId="0" fontId="18" fillId="3" borderId="0" xfId="0" applyFont="1" applyFill="1" applyBorder="1" applyAlignment="1">
      <alignment horizontal="right" vertical="center" wrapText="1"/>
    </xf>
    <xf numFmtId="0" fontId="17" fillId="3" borderId="37"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9" fillId="3" borderId="39" xfId="0" applyFont="1" applyFill="1" applyBorder="1" applyAlignment="1">
      <alignment horizontal="left" vertical="center" wrapText="1"/>
    </xf>
    <xf numFmtId="0" fontId="18" fillId="3" borderId="39" xfId="0" applyFont="1" applyFill="1" applyBorder="1" applyAlignment="1">
      <alignment horizontal="right" vertical="center" wrapText="1" indent="5"/>
    </xf>
    <xf numFmtId="0" fontId="19" fillId="3" borderId="37" xfId="0" applyFont="1" applyFill="1" applyBorder="1" applyAlignment="1">
      <alignment horizontal="right" vertical="center" wrapText="1"/>
    </xf>
    <xf numFmtId="0" fontId="19" fillId="3" borderId="40" xfId="0" applyFont="1" applyFill="1" applyBorder="1" applyAlignment="1">
      <alignment horizontal="right" vertical="center" wrapText="1"/>
    </xf>
    <xf numFmtId="0" fontId="18" fillId="3" borderId="39" xfId="0" applyFont="1" applyFill="1" applyBorder="1" applyAlignment="1">
      <alignment horizontal="right" vertical="center" wrapText="1"/>
    </xf>
    <xf numFmtId="0" fontId="19" fillId="3" borderId="39" xfId="0" applyFont="1" applyFill="1" applyBorder="1" applyAlignment="1">
      <alignment horizontal="right" vertical="center" wrapText="1"/>
    </xf>
    <xf numFmtId="0" fontId="1" fillId="2" borderId="0" xfId="1" applyFill="1"/>
    <xf numFmtId="0" fontId="2" fillId="2" borderId="0" xfId="1" applyFont="1" applyFill="1"/>
    <xf numFmtId="0" fontId="10" fillId="2" borderId="0" xfId="7" applyFill="1" applyBorder="1" applyAlignment="1">
      <alignment wrapText="1"/>
    </xf>
    <xf numFmtId="0" fontId="2" fillId="0" borderId="13" xfId="7" applyFont="1" applyFill="1" applyBorder="1" applyProtection="1">
      <protection hidden="1"/>
    </xf>
    <xf numFmtId="0" fontId="2" fillId="0" borderId="14" xfId="7" applyFont="1" applyFill="1" applyBorder="1" applyProtection="1">
      <protection hidden="1"/>
    </xf>
    <xf numFmtId="0" fontId="1" fillId="0" borderId="14" xfId="7" applyFont="1" applyFill="1" applyBorder="1" applyProtection="1">
      <protection hidden="1"/>
    </xf>
    <xf numFmtId="0" fontId="1" fillId="0" borderId="15" xfId="7" applyFont="1" applyFill="1" applyBorder="1" applyProtection="1">
      <protection hidden="1"/>
    </xf>
    <xf numFmtId="0" fontId="11" fillId="6" borderId="0" xfId="7" applyFont="1" applyFill="1" applyBorder="1" applyProtection="1">
      <protection hidden="1"/>
    </xf>
    <xf numFmtId="165" fontId="11" fillId="6" borderId="17" xfId="7" applyNumberFormat="1" applyFont="1" applyFill="1" applyBorder="1" applyProtection="1">
      <protection hidden="1"/>
    </xf>
    <xf numFmtId="0" fontId="1" fillId="0" borderId="16" xfId="7" applyFont="1" applyFill="1" applyBorder="1" applyProtection="1">
      <protection hidden="1"/>
    </xf>
    <xf numFmtId="0" fontId="1" fillId="0" borderId="0" xfId="7" applyFont="1" applyFill="1" applyBorder="1" applyAlignment="1" applyProtection="1">
      <alignment horizontal="left"/>
      <protection hidden="1"/>
    </xf>
    <xf numFmtId="0" fontId="1" fillId="0" borderId="0" xfId="7" applyFont="1" applyFill="1" applyBorder="1" applyProtection="1">
      <protection hidden="1"/>
    </xf>
    <xf numFmtId="0" fontId="1" fillId="0" borderId="18" xfId="7" applyFont="1" applyFill="1" applyBorder="1" applyAlignment="1" applyProtection="1">
      <alignment horizontal="left"/>
      <protection hidden="1"/>
    </xf>
    <xf numFmtId="0" fontId="1" fillId="0" borderId="18" xfId="7" applyFont="1" applyFill="1" applyBorder="1" applyProtection="1">
      <protection hidden="1"/>
    </xf>
    <xf numFmtId="165" fontId="1" fillId="0" borderId="16" xfId="7" applyNumberFormat="1" applyFont="1" applyFill="1" applyBorder="1" applyProtection="1">
      <protection hidden="1"/>
    </xf>
    <xf numFmtId="49" fontId="1" fillId="0" borderId="18" xfId="7" applyNumberFormat="1" applyFont="1" applyFill="1" applyBorder="1" applyAlignment="1" applyProtection="1">
      <alignment horizontal="left"/>
      <protection hidden="1"/>
    </xf>
    <xf numFmtId="49" fontId="1" fillId="0" borderId="0" xfId="7" applyNumberFormat="1" applyFont="1" applyFill="1" applyBorder="1" applyAlignment="1" applyProtection="1">
      <alignment horizontal="left"/>
      <protection hidden="1"/>
    </xf>
    <xf numFmtId="41" fontId="1" fillId="6" borderId="17" xfId="7" applyNumberFormat="1" applyFont="1" applyFill="1" applyBorder="1" applyProtection="1">
      <protection hidden="1"/>
    </xf>
    <xf numFmtId="0" fontId="1" fillId="0" borderId="21" xfId="7" applyFont="1" applyFill="1" applyBorder="1" applyAlignment="1" applyProtection="1">
      <alignment horizontal="left"/>
      <protection hidden="1"/>
    </xf>
    <xf numFmtId="0" fontId="2" fillId="0" borderId="21" xfId="7" applyFont="1" applyFill="1" applyBorder="1" applyProtection="1">
      <protection hidden="1"/>
    </xf>
    <xf numFmtId="0" fontId="1" fillId="0" borderId="14" xfId="7" applyFont="1" applyFill="1" applyBorder="1" applyAlignment="1" applyProtection="1">
      <alignment horizontal="left"/>
      <protection hidden="1"/>
    </xf>
    <xf numFmtId="0" fontId="2" fillId="0" borderId="16" xfId="7" applyFont="1" applyFill="1" applyBorder="1" applyProtection="1">
      <protection hidden="1"/>
    </xf>
    <xf numFmtId="0" fontId="2" fillId="0" borderId="20" xfId="7" applyFont="1" applyFill="1" applyBorder="1" applyProtection="1">
      <protection hidden="1"/>
    </xf>
    <xf numFmtId="0" fontId="1" fillId="0" borderId="18" xfId="7" applyFont="1" applyFill="1" applyBorder="1" applyAlignment="1" applyProtection="1">
      <alignment wrapText="1"/>
      <protection hidden="1"/>
    </xf>
    <xf numFmtId="0" fontId="2" fillId="0" borderId="23" xfId="7" applyFont="1" applyFill="1" applyBorder="1" applyProtection="1">
      <protection hidden="1"/>
    </xf>
    <xf numFmtId="0" fontId="1" fillId="0" borderId="24" xfId="7" applyFont="1" applyFill="1" applyBorder="1" applyProtection="1">
      <protection hidden="1"/>
    </xf>
    <xf numFmtId="42" fontId="2" fillId="0" borderId="24" xfId="7" applyNumberFormat="1" applyFont="1" applyFill="1" applyBorder="1" applyProtection="1">
      <protection hidden="1"/>
    </xf>
    <xf numFmtId="42" fontId="2" fillId="0" borderId="25" xfId="7" applyNumberFormat="1" applyFont="1" applyFill="1" applyBorder="1" applyProtection="1">
      <protection hidden="1"/>
    </xf>
    <xf numFmtId="0" fontId="1" fillId="10" borderId="0" xfId="1" applyFill="1"/>
    <xf numFmtId="0" fontId="7" fillId="7" borderId="2" xfId="1" applyFont="1" applyFill="1" applyBorder="1" applyAlignment="1" applyProtection="1">
      <alignment wrapText="1"/>
      <protection locked="0"/>
    </xf>
    <xf numFmtId="0" fontId="7" fillId="0" borderId="2" xfId="1" applyFont="1" applyFill="1" applyBorder="1" applyAlignment="1" applyProtection="1">
      <alignment wrapText="1"/>
      <protection locked="0"/>
    </xf>
    <xf numFmtId="0" fontId="1" fillId="0" borderId="0" xfId="7" applyFont="1" applyFill="1" applyBorder="1" applyAlignment="1" applyProtection="1">
      <alignment wrapText="1"/>
      <protection hidden="1"/>
    </xf>
    <xf numFmtId="0" fontId="7" fillId="0" borderId="2" xfId="1" applyFont="1" applyFill="1" applyBorder="1" applyAlignment="1" applyProtection="1">
      <alignment horizontal="center" vertical="center" wrapText="1"/>
      <protection locked="0"/>
    </xf>
    <xf numFmtId="0" fontId="7" fillId="0" borderId="10" xfId="1" applyFont="1" applyFill="1" applyBorder="1" applyAlignment="1" applyProtection="1">
      <alignment wrapText="1"/>
      <protection locked="0"/>
    </xf>
    <xf numFmtId="0" fontId="10" fillId="0" borderId="8" xfId="7" applyFill="1" applyBorder="1" applyAlignment="1" applyProtection="1">
      <alignment wrapText="1"/>
    </xf>
    <xf numFmtId="0" fontId="2" fillId="0" borderId="10" xfId="7" applyFont="1" applyFill="1" applyBorder="1" applyAlignment="1" applyProtection="1">
      <alignment horizontal="center" wrapText="1"/>
    </xf>
    <xf numFmtId="0" fontId="2" fillId="0" borderId="2" xfId="7" applyFont="1" applyFill="1" applyBorder="1" applyAlignment="1" applyProtection="1">
      <alignment horizontal="center" wrapText="1"/>
    </xf>
    <xf numFmtId="0" fontId="10" fillId="0" borderId="2" xfId="7" applyFill="1" applyBorder="1" applyAlignment="1" applyProtection="1">
      <alignment wrapText="1"/>
    </xf>
    <xf numFmtId="0" fontId="11" fillId="6" borderId="2" xfId="7" applyFont="1" applyFill="1" applyBorder="1" applyProtection="1"/>
    <xf numFmtId="0" fontId="10" fillId="0" borderId="2" xfId="7" applyFill="1" applyBorder="1" applyAlignment="1" applyProtection="1">
      <alignment horizontal="left"/>
    </xf>
    <xf numFmtId="0" fontId="1" fillId="0" borderId="2" xfId="7" applyFont="1" applyFill="1" applyBorder="1" applyAlignment="1" applyProtection="1">
      <alignment wrapText="1"/>
    </xf>
    <xf numFmtId="0" fontId="10" fillId="0" borderId="2" xfId="7" applyFill="1" applyBorder="1" applyAlignment="1" applyProtection="1">
      <alignment vertical="center" wrapText="1"/>
    </xf>
    <xf numFmtId="0" fontId="1" fillId="0" borderId="2" xfId="7" applyFont="1" applyFill="1" applyBorder="1" applyAlignment="1" applyProtection="1">
      <alignment vertical="center" wrapText="1"/>
    </xf>
    <xf numFmtId="0" fontId="11" fillId="6" borderId="2" xfId="7" applyFont="1" applyFill="1" applyBorder="1" applyAlignment="1" applyProtection="1">
      <alignment vertical="center"/>
    </xf>
    <xf numFmtId="0" fontId="6" fillId="0" borderId="4" xfId="1" applyFont="1" applyFill="1" applyBorder="1" applyAlignment="1" applyProtection="1">
      <alignment wrapText="1"/>
      <protection locked="0"/>
    </xf>
    <xf numFmtId="0" fontId="5" fillId="2" borderId="0" xfId="0" applyFont="1" applyFill="1" applyBorder="1" applyAlignment="1" applyProtection="1">
      <alignment wrapText="1"/>
      <protection locked="0"/>
    </xf>
    <xf numFmtId="9" fontId="5" fillId="2" borderId="0" xfId="0" applyNumberFormat="1" applyFont="1" applyFill="1" applyBorder="1" applyAlignment="1" applyProtection="1">
      <alignment wrapText="1"/>
      <protection locked="0"/>
    </xf>
    <xf numFmtId="0" fontId="7" fillId="5" borderId="29" xfId="7" applyFont="1" applyFill="1" applyBorder="1" applyAlignment="1" applyProtection="1">
      <alignment wrapText="1"/>
      <protection locked="0"/>
    </xf>
    <xf numFmtId="0" fontId="7" fillId="2" borderId="0" xfId="7" applyFont="1" applyFill="1" applyBorder="1" applyAlignment="1" applyProtection="1">
      <alignment wrapText="1"/>
      <protection locked="0"/>
    </xf>
    <xf numFmtId="0" fontId="7" fillId="2" borderId="0" xfId="1" applyFont="1" applyFill="1" applyAlignment="1" applyProtection="1">
      <alignment wrapText="1"/>
      <protection locked="0"/>
    </xf>
    <xf numFmtId="0" fontId="6" fillId="9" borderId="2" xfId="1" applyFont="1" applyFill="1" applyBorder="1" applyAlignment="1" applyProtection="1">
      <alignment wrapText="1"/>
      <protection locked="0"/>
    </xf>
    <xf numFmtId="0" fontId="20" fillId="0" borderId="42" xfId="0" applyFont="1" applyFill="1" applyBorder="1" applyAlignment="1" applyProtection="1">
      <alignment horizontal="left" wrapText="1"/>
      <protection locked="0"/>
    </xf>
    <xf numFmtId="0" fontId="20" fillId="0" borderId="41" xfId="0" applyFont="1" applyFill="1" applyBorder="1" applyAlignment="1" applyProtection="1">
      <alignment horizontal="left" wrapText="1"/>
      <protection locked="0"/>
    </xf>
    <xf numFmtId="0" fontId="21" fillId="0" borderId="42" xfId="0" applyFont="1" applyFill="1" applyBorder="1" applyAlignment="1" applyProtection="1">
      <alignment vertical="top" wrapText="1"/>
      <protection locked="0"/>
    </xf>
    <xf numFmtId="0" fontId="4" fillId="0" borderId="41" xfId="0" applyFont="1" applyFill="1" applyBorder="1" applyAlignment="1" applyProtection="1">
      <alignment vertical="top" wrapText="1"/>
      <protection locked="0"/>
    </xf>
    <xf numFmtId="164" fontId="22" fillId="0" borderId="26" xfId="0" applyNumberFormat="1" applyFont="1" applyFill="1" applyBorder="1" applyAlignment="1" applyProtection="1">
      <alignment vertical="top" wrapText="1"/>
      <protection locked="0"/>
    </xf>
    <xf numFmtId="0" fontId="0" fillId="0" borderId="3"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166" fontId="22" fillId="0" borderId="26" xfId="0" applyNumberFormat="1" applyFont="1" applyFill="1" applyBorder="1" applyAlignment="1" applyProtection="1">
      <alignment vertical="top" wrapText="1"/>
      <protection locked="0"/>
    </xf>
    <xf numFmtId="0" fontId="4" fillId="0" borderId="27" xfId="0" applyFont="1" applyFill="1" applyBorder="1" applyAlignment="1" applyProtection="1">
      <alignment vertical="top" wrapText="1"/>
      <protection locked="0"/>
    </xf>
    <xf numFmtId="166" fontId="22" fillId="0" borderId="1" xfId="0" applyNumberFormat="1" applyFont="1" applyFill="1" applyBorder="1" applyAlignment="1" applyProtection="1">
      <alignment horizontal="left" vertical="top" wrapText="1"/>
      <protection locked="0"/>
    </xf>
    <xf numFmtId="166" fontId="22" fillId="0" borderId="7" xfId="0" applyNumberFormat="1" applyFont="1" applyFill="1" applyBorder="1" applyAlignment="1" applyProtection="1">
      <alignment horizontal="left" vertical="top" wrapText="1"/>
      <protection locked="0"/>
    </xf>
    <xf numFmtId="165" fontId="22" fillId="0" borderId="43"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vertical="top" wrapText="1"/>
      <protection locked="0"/>
    </xf>
    <xf numFmtId="0" fontId="2" fillId="0" borderId="10" xfId="7" applyFont="1" applyFill="1" applyBorder="1" applyAlignment="1" applyProtection="1">
      <alignment horizontal="center" wrapText="1"/>
    </xf>
    <xf numFmtId="0" fontId="2" fillId="0" borderId="2" xfId="7" applyFont="1" applyFill="1" applyBorder="1" applyAlignment="1" applyProtection="1">
      <alignment horizontal="center" wrapText="1"/>
    </xf>
    <xf numFmtId="0" fontId="1" fillId="10" borderId="0" xfId="1" applyFill="1" applyBorder="1"/>
    <xf numFmtId="0" fontId="29" fillId="0" borderId="69" xfId="0" applyFont="1" applyBorder="1"/>
    <xf numFmtId="0" fontId="1" fillId="10" borderId="69" xfId="1" applyFill="1" applyBorder="1"/>
    <xf numFmtId="0" fontId="30" fillId="10" borderId="0" xfId="0" applyFont="1" applyFill="1" applyBorder="1"/>
    <xf numFmtId="0" fontId="31" fillId="10" borderId="0" xfId="0" applyFont="1" applyFill="1" applyBorder="1"/>
    <xf numFmtId="168" fontId="32" fillId="0" borderId="0" xfId="0" quotePrefix="1" applyNumberFormat="1" applyFont="1" applyAlignment="1">
      <alignment horizontal="left"/>
    </xf>
    <xf numFmtId="0" fontId="7" fillId="10" borderId="0" xfId="1" applyFont="1" applyFill="1"/>
    <xf numFmtId="0" fontId="7" fillId="10" borderId="0" xfId="1" applyFont="1" applyFill="1" applyProtection="1">
      <protection locked="0"/>
    </xf>
    <xf numFmtId="0" fontId="8" fillId="10" borderId="0" xfId="0" applyFont="1" applyFill="1" applyAlignment="1">
      <alignment horizontal="left"/>
    </xf>
    <xf numFmtId="0" fontId="9" fillId="12" borderId="0" xfId="0" applyFont="1" applyFill="1" applyBorder="1" applyAlignment="1">
      <alignment horizontal="left"/>
    </xf>
    <xf numFmtId="0" fontId="9" fillId="13" borderId="0" xfId="0" applyFont="1" applyFill="1" applyBorder="1" applyAlignment="1">
      <alignment horizontal="left"/>
    </xf>
    <xf numFmtId="0" fontId="9" fillId="12" borderId="0" xfId="0" applyFont="1" applyFill="1" applyBorder="1" applyAlignment="1">
      <alignment horizontal="left" vertical="center"/>
    </xf>
    <xf numFmtId="0" fontId="33" fillId="12" borderId="0" xfId="0" applyFont="1" applyFill="1" applyBorder="1" applyAlignment="1">
      <alignment horizontal="left" vertical="center"/>
    </xf>
    <xf numFmtId="0" fontId="33" fillId="13" borderId="0" xfId="0" applyFont="1" applyFill="1" applyBorder="1" applyAlignment="1">
      <alignment horizontal="left" vertical="center"/>
    </xf>
    <xf numFmtId="0" fontId="2" fillId="10" borderId="0" xfId="1" applyFont="1" applyFill="1"/>
    <xf numFmtId="165" fontId="1" fillId="10" borderId="0" xfId="1" applyNumberFormat="1" applyFont="1" applyFill="1"/>
    <xf numFmtId="0" fontId="1" fillId="10" borderId="0" xfId="1" applyFont="1" applyFill="1"/>
    <xf numFmtId="0" fontId="25" fillId="10" borderId="16" xfId="1" applyFont="1" applyFill="1" applyBorder="1" applyAlignment="1"/>
    <xf numFmtId="0" fontId="25" fillId="10" borderId="17" xfId="1" applyFont="1" applyFill="1" applyBorder="1" applyAlignment="1"/>
    <xf numFmtId="0" fontId="26" fillId="10" borderId="20" xfId="1" applyFont="1" applyFill="1" applyBorder="1" applyAlignment="1">
      <alignment wrapText="1"/>
    </xf>
    <xf numFmtId="0" fontId="26" fillId="10" borderId="22" xfId="1" applyFont="1" applyFill="1" applyBorder="1" applyAlignment="1">
      <alignment vertical="top" wrapText="1"/>
    </xf>
    <xf numFmtId="0" fontId="36" fillId="10" borderId="0" xfId="1" applyFont="1" applyFill="1"/>
    <xf numFmtId="0" fontId="2" fillId="0" borderId="2" xfId="7" applyNumberFormat="1" applyFont="1" applyFill="1" applyBorder="1" applyAlignment="1" applyProtection="1">
      <alignment horizontal="center" wrapText="1"/>
    </xf>
    <xf numFmtId="0" fontId="37" fillId="11" borderId="2" xfId="7" applyFont="1" applyFill="1" applyBorder="1" applyAlignment="1" applyProtection="1">
      <alignment horizontal="center"/>
      <protection locked="0"/>
    </xf>
    <xf numFmtId="0" fontId="39" fillId="12" borderId="9" xfId="7" applyFont="1" applyFill="1" applyBorder="1" applyAlignment="1" applyProtection="1">
      <alignment wrapText="1"/>
    </xf>
    <xf numFmtId="0" fontId="11" fillId="6" borderId="10" xfId="7" applyFont="1" applyFill="1" applyBorder="1" applyProtection="1"/>
    <xf numFmtId="0" fontId="10" fillId="0" borderId="11" xfId="7" applyFill="1" applyBorder="1" applyAlignment="1" applyProtection="1">
      <alignment horizontal="left"/>
    </xf>
    <xf numFmtId="0" fontId="10" fillId="0" borderId="11" xfId="7" applyFill="1" applyBorder="1" applyAlignment="1" applyProtection="1">
      <alignment wrapText="1"/>
    </xf>
    <xf numFmtId="0" fontId="10" fillId="0" borderId="8" xfId="7" applyFill="1" applyBorder="1" applyAlignment="1" applyProtection="1">
      <alignment horizontal="left"/>
    </xf>
    <xf numFmtId="165" fontId="11" fillId="6" borderId="4" xfId="7" applyNumberFormat="1" applyFont="1" applyFill="1" applyBorder="1" applyProtection="1"/>
    <xf numFmtId="0" fontId="11" fillId="6" borderId="9" xfId="7" applyFont="1" applyFill="1" applyBorder="1" applyAlignment="1" applyProtection="1">
      <alignment horizontal="left"/>
    </xf>
    <xf numFmtId="0" fontId="11" fillId="6" borderId="10" xfId="7" applyFont="1" applyFill="1" applyBorder="1" applyAlignment="1" applyProtection="1">
      <alignment wrapText="1"/>
    </xf>
    <xf numFmtId="0" fontId="10" fillId="12" borderId="71" xfId="7" applyFill="1" applyBorder="1" applyProtection="1"/>
    <xf numFmtId="0" fontId="10" fillId="0" borderId="52" xfId="7" applyFill="1" applyBorder="1" applyProtection="1"/>
    <xf numFmtId="0" fontId="10" fillId="0" borderId="72" xfId="7" applyFill="1" applyBorder="1" applyProtection="1"/>
    <xf numFmtId="0" fontId="5" fillId="10" borderId="0" xfId="7" applyFont="1" applyFill="1" applyBorder="1" applyProtection="1"/>
    <xf numFmtId="9" fontId="5" fillId="10" borderId="0" xfId="7" applyNumberFormat="1" applyFont="1" applyFill="1" applyBorder="1" applyProtection="1"/>
    <xf numFmtId="0" fontId="10" fillId="10" borderId="0" xfId="7" applyFill="1" applyProtection="1"/>
    <xf numFmtId="0" fontId="10" fillId="10" borderId="0" xfId="7" applyFill="1" applyBorder="1" applyProtection="1"/>
    <xf numFmtId="0" fontId="40" fillId="10" borderId="0" xfId="7" applyFont="1" applyFill="1" applyBorder="1" applyAlignment="1" applyProtection="1">
      <alignment horizontal="center" wrapText="1"/>
    </xf>
    <xf numFmtId="0" fontId="40" fillId="10" borderId="0" xfId="7" applyFont="1" applyFill="1" applyBorder="1" applyAlignment="1" applyProtection="1">
      <alignment wrapText="1"/>
    </xf>
    <xf numFmtId="0" fontId="40" fillId="10" borderId="0" xfId="7" applyFont="1" applyFill="1" applyProtection="1"/>
    <xf numFmtId="0" fontId="40" fillId="10" borderId="0" xfId="7" applyFont="1" applyFill="1" applyBorder="1" applyProtection="1"/>
    <xf numFmtId="0" fontId="10" fillId="10" borderId="0" xfId="7" applyFill="1" applyAlignment="1" applyProtection="1">
      <alignment wrapText="1"/>
    </xf>
    <xf numFmtId="0" fontId="2" fillId="10" borderId="0" xfId="7" applyFont="1" applyFill="1" applyBorder="1" applyAlignment="1" applyProtection="1">
      <alignment horizontal="center" wrapText="1"/>
    </xf>
    <xf numFmtId="0" fontId="2" fillId="10" borderId="12" xfId="7" applyFont="1" applyFill="1" applyBorder="1" applyAlignment="1" applyProtection="1">
      <alignment horizontal="center" wrapText="1"/>
    </xf>
    <xf numFmtId="0" fontId="1" fillId="10" borderId="12" xfId="7" applyFont="1" applyFill="1" applyBorder="1" applyAlignment="1" applyProtection="1">
      <alignment horizontal="center" wrapText="1"/>
    </xf>
    <xf numFmtId="0" fontId="10" fillId="10" borderId="12" xfId="7" applyFill="1" applyBorder="1" applyProtection="1"/>
    <xf numFmtId="0" fontId="10" fillId="10" borderId="12" xfId="7" applyFill="1" applyBorder="1" applyAlignment="1" applyProtection="1">
      <alignment horizontal="center"/>
    </xf>
    <xf numFmtId="0" fontId="10" fillId="10" borderId="12" xfId="7" applyFill="1" applyBorder="1" applyAlignment="1" applyProtection="1">
      <alignment vertical="center"/>
    </xf>
    <xf numFmtId="0" fontId="10" fillId="10" borderId="0" xfId="7" applyFill="1" applyAlignment="1" applyProtection="1">
      <alignment horizontal="left"/>
    </xf>
    <xf numFmtId="0" fontId="2" fillId="6" borderId="2" xfId="7" applyFont="1" applyFill="1" applyBorder="1" applyAlignment="1" applyProtection="1">
      <alignment horizontal="center" vertical="center"/>
    </xf>
    <xf numFmtId="0" fontId="37" fillId="11" borderId="2" xfId="7" applyFont="1" applyFill="1" applyBorder="1" applyProtection="1">
      <protection locked="0"/>
    </xf>
    <xf numFmtId="44" fontId="1" fillId="0" borderId="2" xfId="3" applyFont="1" applyFill="1" applyBorder="1" applyProtection="1"/>
    <xf numFmtId="0" fontId="37" fillId="11" borderId="2" xfId="7" applyFont="1" applyFill="1" applyBorder="1" applyAlignment="1" applyProtection="1">
      <alignment horizontal="center" vertical="center"/>
      <protection locked="0"/>
    </xf>
    <xf numFmtId="0" fontId="2" fillId="6" borderId="2" xfId="7" applyFont="1" applyFill="1" applyBorder="1" applyProtection="1"/>
    <xf numFmtId="44" fontId="1" fillId="6" borderId="2" xfId="3" applyFont="1" applyFill="1" applyBorder="1" applyProtection="1"/>
    <xf numFmtId="0" fontId="37" fillId="6" borderId="2" xfId="7" applyFont="1" applyFill="1" applyBorder="1" applyAlignment="1" applyProtection="1">
      <alignment horizontal="center" vertical="center"/>
      <protection locked="0"/>
    </xf>
    <xf numFmtId="0" fontId="1" fillId="10" borderId="0" xfId="7" applyFont="1" applyFill="1" applyProtection="1"/>
    <xf numFmtId="0" fontId="2" fillId="10" borderId="0" xfId="7" applyFont="1" applyFill="1" applyBorder="1" applyAlignment="1" applyProtection="1">
      <alignment vertical="center" textRotation="90" wrapText="1"/>
    </xf>
    <xf numFmtId="0" fontId="2" fillId="6" borderId="2" xfId="7" applyFont="1" applyFill="1" applyBorder="1" applyAlignment="1" applyProtection="1">
      <alignment horizontal="center"/>
    </xf>
    <xf numFmtId="44" fontId="37" fillId="11" borderId="2" xfId="3" applyFont="1" applyFill="1" applyBorder="1" applyProtection="1">
      <protection locked="0"/>
    </xf>
    <xf numFmtId="0" fontId="2" fillId="6" borderId="2" xfId="7" applyFont="1" applyFill="1" applyBorder="1" applyAlignment="1" applyProtection="1">
      <alignment horizontal="center" wrapText="1"/>
    </xf>
    <xf numFmtId="0" fontId="2" fillId="6" borderId="11" xfId="7" applyFont="1" applyFill="1" applyBorder="1" applyAlignment="1" applyProtection="1">
      <alignment horizontal="center"/>
    </xf>
    <xf numFmtId="44" fontId="2" fillId="6" borderId="2" xfId="3" applyFont="1" applyFill="1" applyBorder="1" applyAlignment="1" applyProtection="1">
      <alignment horizontal="center"/>
    </xf>
    <xf numFmtId="44" fontId="2" fillId="6" borderId="2" xfId="7" applyNumberFormat="1" applyFont="1" applyFill="1" applyBorder="1" applyProtection="1"/>
    <xf numFmtId="0" fontId="7" fillId="10" borderId="0" xfId="7" applyFont="1" applyFill="1" applyProtection="1"/>
    <xf numFmtId="0" fontId="2" fillId="10" borderId="0" xfId="7" applyFont="1" applyFill="1" applyBorder="1" applyAlignment="1" applyProtection="1">
      <alignment horizontal="center" vertical="center" textRotation="90" wrapText="1"/>
    </xf>
    <xf numFmtId="0" fontId="1" fillId="10" borderId="0" xfId="7" applyFont="1" applyFill="1" applyBorder="1" applyProtection="1"/>
    <xf numFmtId="0" fontId="7" fillId="10" borderId="0" xfId="7" applyNumberFormat="1" applyFont="1" applyFill="1" applyProtection="1"/>
    <xf numFmtId="0" fontId="1" fillId="10" borderId="0" xfId="7" applyFont="1" applyFill="1" applyAlignment="1" applyProtection="1">
      <alignment wrapText="1"/>
    </xf>
    <xf numFmtId="0" fontId="7" fillId="10" borderId="0" xfId="7" applyFont="1" applyFill="1" applyAlignment="1" applyProtection="1">
      <alignment wrapText="1"/>
    </xf>
    <xf numFmtId="0" fontId="1" fillId="0" borderId="2" xfId="7" applyFont="1" applyFill="1" applyBorder="1" applyAlignment="1" applyProtection="1">
      <alignment wrapText="1"/>
      <protection hidden="1"/>
    </xf>
    <xf numFmtId="0" fontId="37" fillId="11" borderId="2" xfId="7" applyFont="1" applyFill="1" applyBorder="1" applyAlignment="1" applyProtection="1">
      <alignment horizontal="center" wrapText="1"/>
      <protection locked="0"/>
    </xf>
    <xf numFmtId="9" fontId="37" fillId="11" borderId="2" xfId="8" applyFont="1" applyFill="1" applyBorder="1" applyAlignment="1" applyProtection="1">
      <alignment horizontal="center" wrapText="1"/>
      <protection locked="0"/>
    </xf>
    <xf numFmtId="0" fontId="1" fillId="10" borderId="0" xfId="7" applyFont="1" applyFill="1" applyAlignment="1" applyProtection="1">
      <alignment wrapText="1"/>
      <protection hidden="1"/>
    </xf>
    <xf numFmtId="0" fontId="7" fillId="10" borderId="0" xfId="7" applyFont="1" applyFill="1" applyAlignment="1" applyProtection="1">
      <alignment wrapText="1"/>
      <protection hidden="1"/>
    </xf>
    <xf numFmtId="0" fontId="10" fillId="10" borderId="0" xfId="7" applyFill="1" applyAlignment="1" applyProtection="1">
      <alignment wrapText="1"/>
      <protection hidden="1"/>
    </xf>
    <xf numFmtId="0" fontId="40" fillId="10" borderId="0" xfId="7" applyFont="1" applyFill="1" applyAlignment="1" applyProtection="1">
      <alignment wrapText="1"/>
      <protection hidden="1"/>
    </xf>
    <xf numFmtId="0" fontId="24" fillId="10" borderId="0" xfId="7" applyFont="1" applyFill="1" applyAlignment="1" applyProtection="1">
      <alignment wrapText="1"/>
      <protection hidden="1"/>
    </xf>
    <xf numFmtId="0" fontId="39" fillId="10" borderId="0" xfId="7" applyFont="1" applyFill="1" applyBorder="1" applyAlignment="1" applyProtection="1">
      <alignment wrapText="1"/>
      <protection hidden="1"/>
    </xf>
    <xf numFmtId="0" fontId="40" fillId="10" borderId="0" xfId="7" applyFont="1" applyFill="1" applyBorder="1" applyAlignment="1" applyProtection="1">
      <alignment wrapText="1"/>
      <protection hidden="1"/>
    </xf>
    <xf numFmtId="0" fontId="40" fillId="10" borderId="0" xfId="7" applyFont="1" applyFill="1" applyBorder="1" applyAlignment="1" applyProtection="1">
      <alignment horizontal="center" wrapText="1"/>
      <protection hidden="1"/>
    </xf>
    <xf numFmtId="167" fontId="40" fillId="10" borderId="0" xfId="9" applyNumberFormat="1" applyFont="1" applyFill="1" applyBorder="1" applyAlignment="1" applyProtection="1">
      <alignment horizontal="center" wrapText="1"/>
      <protection hidden="1"/>
    </xf>
    <xf numFmtId="0" fontId="1" fillId="10" borderId="0" xfId="7" applyFont="1" applyFill="1" applyAlignment="1" applyProtection="1">
      <alignment horizontal="center" wrapText="1"/>
      <protection hidden="1"/>
    </xf>
    <xf numFmtId="0" fontId="7" fillId="10" borderId="0" xfId="7" applyFont="1" applyFill="1" applyAlignment="1" applyProtection="1">
      <alignment horizontal="center" wrapText="1"/>
      <protection hidden="1"/>
    </xf>
    <xf numFmtId="0" fontId="10" fillId="10" borderId="0" xfId="7" applyFill="1" applyAlignment="1" applyProtection="1">
      <alignment horizontal="center" wrapText="1"/>
      <protection hidden="1"/>
    </xf>
    <xf numFmtId="0" fontId="5" fillId="10" borderId="0" xfId="7" applyFont="1" applyFill="1" applyBorder="1" applyProtection="1">
      <protection hidden="1"/>
    </xf>
    <xf numFmtId="0" fontId="23" fillId="10" borderId="0" xfId="7" applyFont="1" applyFill="1" applyBorder="1" applyProtection="1">
      <protection hidden="1"/>
    </xf>
    <xf numFmtId="0" fontId="34" fillId="10" borderId="0" xfId="7" applyFont="1" applyFill="1" applyBorder="1" applyAlignment="1" applyProtection="1">
      <alignment horizontal="left" vertical="top" wrapText="1"/>
      <protection hidden="1"/>
    </xf>
    <xf numFmtId="42" fontId="1" fillId="0" borderId="17" xfId="7" applyNumberFormat="1" applyFont="1" applyFill="1" applyBorder="1" applyProtection="1">
      <protection hidden="1"/>
    </xf>
    <xf numFmtId="42" fontId="1" fillId="0" borderId="19" xfId="7" applyNumberFormat="1" applyFont="1" applyFill="1" applyBorder="1" applyProtection="1">
      <protection hidden="1"/>
    </xf>
    <xf numFmtId="0" fontId="1" fillId="10" borderId="0" xfId="1" applyFont="1" applyFill="1" applyBorder="1" applyAlignment="1">
      <alignment horizontal="left" vertical="top" wrapText="1"/>
    </xf>
    <xf numFmtId="0" fontId="1" fillId="0" borderId="2" xfId="7" applyFont="1" applyFill="1" applyBorder="1" applyAlignment="1" applyProtection="1">
      <alignment wrapText="1"/>
    </xf>
    <xf numFmtId="0" fontId="2" fillId="0" borderId="0" xfId="7" applyFont="1" applyFill="1" applyBorder="1" applyProtection="1">
      <protection hidden="1"/>
    </xf>
    <xf numFmtId="42" fontId="42" fillId="0" borderId="17" xfId="9" applyNumberFormat="1" applyFont="1" applyFill="1" applyBorder="1" applyProtection="1">
      <protection hidden="1"/>
    </xf>
    <xf numFmtId="0" fontId="1" fillId="10" borderId="0" xfId="1" applyFont="1" applyFill="1" applyBorder="1" applyAlignment="1">
      <alignment horizontal="left" vertical="top" wrapText="1"/>
    </xf>
    <xf numFmtId="0" fontId="34" fillId="10" borderId="0" xfId="7" applyFont="1" applyFill="1" applyBorder="1" applyAlignment="1" applyProtection="1">
      <alignment horizontal="left" wrapText="1"/>
    </xf>
    <xf numFmtId="0" fontId="2" fillId="6" borderId="2" xfId="7" applyFont="1" applyFill="1" applyBorder="1" applyAlignment="1" applyProtection="1">
      <alignment wrapText="1"/>
    </xf>
    <xf numFmtId="0" fontId="1" fillId="0" borderId="2" xfId="7" applyFont="1" applyFill="1" applyBorder="1" applyAlignment="1" applyProtection="1">
      <alignment wrapText="1"/>
    </xf>
    <xf numFmtId="0" fontId="2" fillId="6" borderId="9" xfId="7" applyFont="1" applyFill="1" applyBorder="1" applyAlignment="1" applyProtection="1">
      <alignment horizontal="center" vertical="center" wrapText="1"/>
    </xf>
    <xf numFmtId="0" fontId="2" fillId="6" borderId="2" xfId="7" applyFont="1" applyFill="1" applyBorder="1" applyAlignment="1" applyProtection="1">
      <alignment horizontal="center" vertical="center" wrapText="1"/>
    </xf>
    <xf numFmtId="0" fontId="39" fillId="6" borderId="4" xfId="7" applyFont="1" applyFill="1" applyBorder="1" applyAlignment="1" applyProtection="1">
      <alignment horizontal="center" vertical="center" wrapText="1"/>
    </xf>
    <xf numFmtId="0" fontId="2" fillId="0" borderId="2" xfId="7" applyFont="1" applyFill="1" applyBorder="1" applyAlignment="1" applyProtection="1">
      <alignment vertical="center" wrapText="1"/>
      <protection hidden="1"/>
    </xf>
    <xf numFmtId="0" fontId="2" fillId="0" borderId="2" xfId="7" applyFont="1" applyFill="1" applyBorder="1" applyAlignment="1" applyProtection="1">
      <alignment vertical="center"/>
    </xf>
    <xf numFmtId="0" fontId="1" fillId="0" borderId="0" xfId="1" applyFont="1"/>
    <xf numFmtId="0" fontId="1" fillId="10" borderId="0" xfId="1" applyFont="1" applyFill="1" applyAlignment="1">
      <alignment wrapText="1"/>
    </xf>
    <xf numFmtId="0" fontId="34" fillId="10" borderId="0" xfId="1" applyFont="1" applyFill="1"/>
    <xf numFmtId="0" fontId="2" fillId="10" borderId="56" xfId="1" applyFont="1" applyFill="1" applyBorder="1" applyAlignment="1"/>
    <xf numFmtId="0" fontId="2" fillId="10" borderId="0" xfId="1" applyFont="1" applyFill="1" applyBorder="1" applyAlignment="1"/>
    <xf numFmtId="0" fontId="2" fillId="10" borderId="57" xfId="1" applyFont="1" applyFill="1" applyBorder="1" applyAlignment="1"/>
    <xf numFmtId="0" fontId="1" fillId="10" borderId="56" xfId="1" applyFont="1" applyFill="1" applyBorder="1" applyAlignment="1">
      <alignment wrapText="1"/>
    </xf>
    <xf numFmtId="0" fontId="1" fillId="10" borderId="57" xfId="1" applyFont="1" applyFill="1" applyBorder="1" applyAlignment="1">
      <alignment vertical="top" wrapText="1"/>
    </xf>
    <xf numFmtId="0" fontId="45" fillId="10" borderId="57" xfId="1" applyFont="1" applyFill="1" applyBorder="1" applyAlignment="1">
      <alignment vertical="center" wrapText="1"/>
    </xf>
    <xf numFmtId="0" fontId="2" fillId="10" borderId="61" xfId="1" applyFont="1" applyFill="1" applyBorder="1" applyAlignment="1"/>
    <xf numFmtId="0" fontId="2" fillId="10" borderId="62" xfId="1" applyFont="1" applyFill="1" applyBorder="1" applyAlignment="1"/>
    <xf numFmtId="0" fontId="2" fillId="10" borderId="63" xfId="1" applyFont="1" applyFill="1" applyBorder="1" applyAlignment="1"/>
    <xf numFmtId="0" fontId="1" fillId="10" borderId="61" xfId="1" applyFont="1" applyFill="1" applyBorder="1" applyAlignment="1">
      <alignment wrapText="1"/>
    </xf>
    <xf numFmtId="0" fontId="45" fillId="10" borderId="63" xfId="1" applyFont="1" applyFill="1" applyBorder="1" applyAlignment="1">
      <alignment vertical="center" wrapText="1"/>
    </xf>
    <xf numFmtId="0" fontId="1" fillId="10" borderId="0" xfId="1" applyFont="1" applyFill="1" applyAlignment="1">
      <alignment vertical="top" wrapText="1"/>
    </xf>
    <xf numFmtId="0" fontId="1" fillId="0" borderId="0" xfId="1" applyFont="1" applyFill="1"/>
    <xf numFmtId="0" fontId="1" fillId="0" borderId="4" xfId="7" applyFont="1" applyFill="1" applyBorder="1" applyAlignment="1" applyProtection="1">
      <alignment wrapText="1"/>
    </xf>
    <xf numFmtId="0" fontId="2" fillId="6" borderId="4" xfId="7" applyFont="1" applyFill="1" applyBorder="1" applyAlignment="1" applyProtection="1">
      <alignment wrapText="1"/>
    </xf>
    <xf numFmtId="0" fontId="2" fillId="6" borderId="4" xfId="7" applyFont="1" applyFill="1" applyBorder="1" applyAlignment="1" applyProtection="1"/>
    <xf numFmtId="165" fontId="2" fillId="6" borderId="16" xfId="7" applyNumberFormat="1" applyFont="1" applyFill="1" applyBorder="1" applyProtection="1">
      <protection hidden="1"/>
    </xf>
    <xf numFmtId="0" fontId="2" fillId="6" borderId="0" xfId="7" applyFont="1" applyFill="1" applyBorder="1" applyAlignment="1" applyProtection="1">
      <alignment horizontal="left"/>
      <protection hidden="1"/>
    </xf>
    <xf numFmtId="0" fontId="1" fillId="6" borderId="0" xfId="7" applyFont="1" applyFill="1" applyBorder="1" applyProtection="1">
      <protection hidden="1"/>
    </xf>
    <xf numFmtId="0" fontId="1" fillId="0" borderId="51" xfId="7" applyFont="1" applyFill="1" applyBorder="1" applyAlignment="1" applyProtection="1">
      <alignment horizontal="left"/>
      <protection hidden="1"/>
    </xf>
    <xf numFmtId="0" fontId="2" fillId="0" borderId="51" xfId="7" applyFont="1" applyFill="1" applyBorder="1" applyProtection="1">
      <protection hidden="1"/>
    </xf>
    <xf numFmtId="42" fontId="42" fillId="0" borderId="74" xfId="9" applyNumberFormat="1" applyFont="1" applyFill="1" applyBorder="1" applyProtection="1">
      <protection hidden="1"/>
    </xf>
    <xf numFmtId="0" fontId="2" fillId="0" borderId="0" xfId="7" applyFont="1" applyFill="1" applyBorder="1" applyAlignment="1" applyProtection="1">
      <alignment horizontal="left"/>
      <protection hidden="1"/>
    </xf>
    <xf numFmtId="41" fontId="42" fillId="0" borderId="17" xfId="9" applyNumberFormat="1" applyFont="1" applyFill="1" applyBorder="1" applyProtection="1">
      <protection hidden="1"/>
    </xf>
    <xf numFmtId="0" fontId="2" fillId="0" borderId="51" xfId="7" applyFont="1" applyFill="1" applyBorder="1" applyAlignment="1" applyProtection="1">
      <alignment horizontal="left"/>
      <protection hidden="1"/>
    </xf>
    <xf numFmtId="41" fontId="42" fillId="0" borderId="74" xfId="9" applyNumberFormat="1" applyFont="1" applyFill="1" applyBorder="1" applyProtection="1">
      <protection hidden="1"/>
    </xf>
    <xf numFmtId="49" fontId="2" fillId="0" borderId="0" xfId="7" applyNumberFormat="1" applyFont="1" applyFill="1" applyBorder="1" applyAlignment="1" applyProtection="1">
      <alignment horizontal="left"/>
      <protection hidden="1"/>
    </xf>
    <xf numFmtId="49" fontId="2" fillId="0" borderId="51" xfId="7" applyNumberFormat="1" applyFont="1" applyFill="1" applyBorder="1" applyAlignment="1" applyProtection="1">
      <alignment horizontal="left"/>
      <protection hidden="1"/>
    </xf>
    <xf numFmtId="0" fontId="2" fillId="0" borderId="5" xfId="7" applyFont="1" applyFill="1" applyBorder="1" applyAlignment="1" applyProtection="1">
      <alignment horizontal="center" wrapText="1"/>
      <protection hidden="1"/>
    </xf>
    <xf numFmtId="42" fontId="2" fillId="0" borderId="67" xfId="7" applyNumberFormat="1" applyFont="1" applyFill="1" applyBorder="1" applyProtection="1">
      <protection hidden="1"/>
    </xf>
    <xf numFmtId="0" fontId="2" fillId="0" borderId="76" xfId="7" applyFont="1" applyFill="1" applyBorder="1" applyAlignment="1" applyProtection="1">
      <alignment horizontal="center" wrapText="1"/>
      <protection hidden="1"/>
    </xf>
    <xf numFmtId="0" fontId="1" fillId="0" borderId="77" xfId="7" applyFont="1" applyFill="1" applyBorder="1" applyProtection="1">
      <protection hidden="1"/>
    </xf>
    <xf numFmtId="0" fontId="11" fillId="6" borderId="12" xfId="7" applyFont="1" applyFill="1" applyBorder="1" applyAlignment="1" applyProtection="1">
      <alignment horizontal="left"/>
      <protection hidden="1"/>
    </xf>
    <xf numFmtId="42" fontId="41" fillId="0" borderId="12" xfId="9" applyNumberFormat="1" applyFont="1" applyFill="1" applyBorder="1" applyProtection="1">
      <protection hidden="1"/>
    </xf>
    <xf numFmtId="42" fontId="41" fillId="0" borderId="8" xfId="9" applyNumberFormat="1" applyFont="1" applyFill="1" applyBorder="1" applyProtection="1">
      <protection hidden="1"/>
    </xf>
    <xf numFmtId="42" fontId="42" fillId="0" borderId="76" xfId="9" applyNumberFormat="1" applyFont="1" applyFill="1" applyBorder="1" applyProtection="1">
      <protection hidden="1"/>
    </xf>
    <xf numFmtId="42" fontId="42" fillId="0" borderId="12" xfId="9" applyNumberFormat="1" applyFont="1" applyFill="1" applyBorder="1" applyProtection="1">
      <protection hidden="1"/>
    </xf>
    <xf numFmtId="165" fontId="11" fillId="6" borderId="12" xfId="7" applyNumberFormat="1" applyFont="1" applyFill="1" applyBorder="1" applyProtection="1">
      <protection hidden="1"/>
    </xf>
    <xf numFmtId="41" fontId="42" fillId="0" borderId="76" xfId="9" applyNumberFormat="1" applyFont="1" applyFill="1" applyBorder="1" applyProtection="1">
      <protection hidden="1"/>
    </xf>
    <xf numFmtId="41" fontId="41" fillId="0" borderId="12" xfId="9" applyNumberFormat="1" applyFont="1" applyFill="1" applyBorder="1" applyProtection="1">
      <protection hidden="1"/>
    </xf>
    <xf numFmtId="41" fontId="41" fillId="6" borderId="12" xfId="9" applyNumberFormat="1" applyFont="1" applyFill="1" applyBorder="1" applyProtection="1">
      <protection hidden="1"/>
    </xf>
    <xf numFmtId="42" fontId="2" fillId="0" borderId="77" xfId="9" applyNumberFormat="1" applyFont="1" applyFill="1" applyBorder="1" applyProtection="1">
      <protection hidden="1"/>
    </xf>
    <xf numFmtId="42" fontId="2" fillId="0" borderId="66" xfId="7" applyNumberFormat="1" applyFont="1" applyFill="1" applyBorder="1" applyProtection="1">
      <protection hidden="1"/>
    </xf>
    <xf numFmtId="0" fontId="11" fillId="6" borderId="12" xfId="7" applyFont="1" applyFill="1" applyBorder="1" applyProtection="1">
      <protection hidden="1"/>
    </xf>
    <xf numFmtId="0" fontId="2" fillId="6" borderId="0" xfId="7" applyFont="1" applyFill="1" applyBorder="1" applyProtection="1">
      <protection hidden="1"/>
    </xf>
    <xf numFmtId="42" fontId="2" fillId="0" borderId="76" xfId="7" applyNumberFormat="1" applyFont="1" applyFill="1" applyBorder="1" applyProtection="1">
      <protection hidden="1"/>
    </xf>
    <xf numFmtId="0" fontId="1" fillId="0" borderId="41" xfId="7" applyFont="1" applyFill="1" applyBorder="1" applyProtection="1">
      <protection hidden="1"/>
    </xf>
    <xf numFmtId="165" fontId="11" fillId="6" borderId="79" xfId="7" applyNumberFormat="1" applyFont="1" applyFill="1" applyBorder="1" applyProtection="1">
      <protection hidden="1"/>
    </xf>
    <xf numFmtId="42" fontId="1" fillId="0" borderId="79" xfId="7" applyNumberFormat="1" applyFont="1" applyFill="1" applyBorder="1" applyProtection="1">
      <protection hidden="1"/>
    </xf>
    <xf numFmtId="42" fontId="1" fillId="0" borderId="80" xfId="7" applyNumberFormat="1" applyFont="1" applyFill="1" applyBorder="1" applyProtection="1">
      <protection hidden="1"/>
    </xf>
    <xf numFmtId="42" fontId="42" fillId="0" borderId="6" xfId="9" applyNumberFormat="1" applyFont="1" applyFill="1" applyBorder="1" applyProtection="1">
      <protection hidden="1"/>
    </xf>
    <xf numFmtId="42" fontId="42" fillId="0" borderId="79" xfId="9" applyNumberFormat="1" applyFont="1" applyFill="1" applyBorder="1" applyProtection="1">
      <protection hidden="1"/>
    </xf>
    <xf numFmtId="41" fontId="42" fillId="0" borderId="6" xfId="9" applyNumberFormat="1" applyFont="1" applyFill="1" applyBorder="1" applyProtection="1">
      <protection hidden="1"/>
    </xf>
    <xf numFmtId="41" fontId="41" fillId="0" borderId="79" xfId="9" applyNumberFormat="1" applyFont="1" applyFill="1" applyBorder="1" applyProtection="1">
      <protection hidden="1"/>
    </xf>
    <xf numFmtId="41" fontId="1" fillId="6" borderId="79" xfId="7" applyNumberFormat="1" applyFont="1" applyFill="1" applyBorder="1" applyProtection="1">
      <protection hidden="1"/>
    </xf>
    <xf numFmtId="42" fontId="2" fillId="0" borderId="6" xfId="7" applyNumberFormat="1" applyFont="1" applyFill="1" applyBorder="1" applyProtection="1">
      <protection hidden="1"/>
    </xf>
    <xf numFmtId="42" fontId="2" fillId="0" borderId="79" xfId="7" applyNumberFormat="1" applyFont="1" applyFill="1" applyBorder="1" applyProtection="1">
      <protection hidden="1"/>
    </xf>
    <xf numFmtId="0" fontId="2" fillId="0" borderId="82" xfId="7" applyFont="1" applyFill="1" applyBorder="1" applyProtection="1">
      <protection hidden="1"/>
    </xf>
    <xf numFmtId="0" fontId="2" fillId="0" borderId="83" xfId="7" applyFont="1" applyFill="1" applyBorder="1" applyProtection="1">
      <protection hidden="1"/>
    </xf>
    <xf numFmtId="0" fontId="2" fillId="0" borderId="83" xfId="7" applyFont="1" applyFill="1" applyBorder="1" applyAlignment="1" applyProtection="1">
      <alignment horizontal="left"/>
      <protection hidden="1"/>
    </xf>
    <xf numFmtId="42" fontId="42" fillId="0" borderId="84" xfId="9" applyNumberFormat="1" applyFont="1" applyFill="1" applyBorder="1" applyProtection="1">
      <protection hidden="1"/>
    </xf>
    <xf numFmtId="42" fontId="42" fillId="0" borderId="85" xfId="9" applyNumberFormat="1" applyFont="1" applyFill="1" applyBorder="1" applyProtection="1">
      <protection hidden="1"/>
    </xf>
    <xf numFmtId="165" fontId="11" fillId="0" borderId="16" xfId="7" applyNumberFormat="1" applyFont="1" applyFill="1" applyBorder="1" applyProtection="1">
      <protection hidden="1"/>
    </xf>
    <xf numFmtId="0" fontId="11" fillId="0" borderId="51" xfId="7" applyFont="1" applyFill="1" applyBorder="1" applyAlignment="1" applyProtection="1">
      <alignment horizontal="left"/>
      <protection hidden="1"/>
    </xf>
    <xf numFmtId="0" fontId="11" fillId="0" borderId="21" xfId="7" applyFont="1" applyFill="1" applyBorder="1" applyAlignment="1" applyProtection="1">
      <alignment horizontal="left"/>
      <protection hidden="1"/>
    </xf>
    <xf numFmtId="42" fontId="2" fillId="0" borderId="76" xfId="7" applyNumberFormat="1" applyFont="1" applyFill="1" applyBorder="1" applyAlignment="1" applyProtection="1">
      <alignment horizontal="left"/>
      <protection hidden="1"/>
    </xf>
    <xf numFmtId="0" fontId="2" fillId="0" borderId="41" xfId="7" applyFont="1" applyFill="1" applyBorder="1" applyProtection="1">
      <protection hidden="1"/>
    </xf>
    <xf numFmtId="165" fontId="11" fillId="0" borderId="20" xfId="7" applyNumberFormat="1" applyFont="1" applyFill="1" applyBorder="1" applyProtection="1">
      <protection hidden="1"/>
    </xf>
    <xf numFmtId="42" fontId="2" fillId="0" borderId="78" xfId="7" applyNumberFormat="1" applyFont="1" applyFill="1" applyBorder="1" applyAlignment="1" applyProtection="1">
      <alignment horizontal="left"/>
      <protection hidden="1"/>
    </xf>
    <xf numFmtId="42" fontId="2" fillId="0" borderId="78" xfId="7" applyNumberFormat="1" applyFont="1" applyFill="1" applyBorder="1" applyProtection="1">
      <protection hidden="1"/>
    </xf>
    <xf numFmtId="42" fontId="2" fillId="0" borderId="81" xfId="7" applyNumberFormat="1" applyFont="1" applyFill="1" applyBorder="1" applyProtection="1">
      <protection hidden="1"/>
    </xf>
    <xf numFmtId="0" fontId="11" fillId="0" borderId="78" xfId="7" applyFont="1" applyFill="1" applyBorder="1" applyAlignment="1" applyProtection="1">
      <alignment horizontal="left"/>
      <protection hidden="1"/>
    </xf>
    <xf numFmtId="0" fontId="11" fillId="0" borderId="78" xfId="7" applyFont="1" applyFill="1" applyBorder="1" applyProtection="1">
      <protection hidden="1"/>
    </xf>
    <xf numFmtId="165" fontId="11" fillId="0" borderId="81" xfId="7" applyNumberFormat="1" applyFont="1" applyFill="1" applyBorder="1" applyProtection="1">
      <protection hidden="1"/>
    </xf>
    <xf numFmtId="0" fontId="11" fillId="0" borderId="21" xfId="7" applyFont="1" applyFill="1" applyBorder="1" applyProtection="1">
      <protection hidden="1"/>
    </xf>
    <xf numFmtId="165" fontId="11" fillId="0" borderId="78" xfId="7" applyNumberFormat="1" applyFont="1" applyFill="1" applyBorder="1" applyProtection="1">
      <protection hidden="1"/>
    </xf>
    <xf numFmtId="0" fontId="2" fillId="0" borderId="6" xfId="7" applyFont="1" applyFill="1" applyBorder="1" applyAlignment="1" applyProtection="1">
      <alignment horizontal="center" wrapText="1"/>
      <protection hidden="1"/>
    </xf>
    <xf numFmtId="0" fontId="1" fillId="0" borderId="24" xfId="7" applyFont="1" applyFill="1" applyBorder="1" applyAlignment="1" applyProtection="1">
      <alignment horizontal="center" wrapText="1"/>
      <protection hidden="1"/>
    </xf>
    <xf numFmtId="42" fontId="2" fillId="0" borderId="24" xfId="9" applyNumberFormat="1" applyFont="1" applyFill="1" applyBorder="1" applyProtection="1">
      <protection hidden="1"/>
    </xf>
    <xf numFmtId="0" fontId="5" fillId="0" borderId="0" xfId="7" applyFont="1" applyFill="1" applyBorder="1" applyProtection="1">
      <protection hidden="1"/>
    </xf>
    <xf numFmtId="0" fontId="23" fillId="0" borderId="0" xfId="7" applyFont="1" applyFill="1" applyBorder="1" applyProtection="1">
      <protection hidden="1"/>
    </xf>
    <xf numFmtId="42" fontId="2" fillId="0" borderId="88" xfId="9" applyNumberFormat="1" applyFont="1" applyFill="1" applyBorder="1" applyProtection="1">
      <protection hidden="1"/>
    </xf>
    <xf numFmtId="42" fontId="2" fillId="0" borderId="87" xfId="9" applyNumberFormat="1" applyFont="1" applyFill="1" applyBorder="1" applyProtection="1">
      <protection hidden="1"/>
    </xf>
    <xf numFmtId="42" fontId="41" fillId="11" borderId="12" xfId="9" applyNumberFormat="1" applyFont="1" applyFill="1" applyBorder="1" applyProtection="1">
      <protection hidden="1"/>
    </xf>
    <xf numFmtId="42" fontId="41" fillId="11" borderId="8" xfId="9" applyNumberFormat="1" applyFont="1" applyFill="1" applyBorder="1" applyProtection="1">
      <protection hidden="1"/>
    </xf>
    <xf numFmtId="42" fontId="42" fillId="11" borderId="76" xfId="9" applyNumberFormat="1" applyFont="1" applyFill="1" applyBorder="1" applyProtection="1">
      <protection hidden="1"/>
    </xf>
    <xf numFmtId="41" fontId="42" fillId="11" borderId="76" xfId="9" applyNumberFormat="1" applyFont="1" applyFill="1" applyBorder="1" applyProtection="1">
      <protection hidden="1"/>
    </xf>
    <xf numFmtId="42" fontId="42" fillId="11" borderId="84" xfId="9" applyNumberFormat="1" applyFont="1" applyFill="1" applyBorder="1" applyProtection="1">
      <protection hidden="1"/>
    </xf>
    <xf numFmtId="41" fontId="42" fillId="0" borderId="12" xfId="9" applyNumberFormat="1" applyFont="1" applyFill="1" applyBorder="1" applyProtection="1">
      <protection hidden="1"/>
    </xf>
    <xf numFmtId="0" fontId="2" fillId="0" borderId="74" xfId="7" applyFont="1" applyFill="1" applyBorder="1" applyAlignment="1" applyProtection="1">
      <alignment horizontal="center" wrapText="1"/>
      <protection hidden="1"/>
    </xf>
    <xf numFmtId="42" fontId="2" fillId="0" borderId="74" xfId="7" applyNumberFormat="1" applyFont="1" applyFill="1" applyBorder="1" applyProtection="1">
      <protection hidden="1"/>
    </xf>
    <xf numFmtId="42" fontId="2" fillId="0" borderId="17" xfId="7" applyNumberFormat="1" applyFont="1" applyFill="1" applyBorder="1" applyProtection="1">
      <protection hidden="1"/>
    </xf>
    <xf numFmtId="42" fontId="42" fillId="0" borderId="86" xfId="9" applyNumberFormat="1" applyFont="1" applyFill="1" applyBorder="1" applyProtection="1">
      <protection hidden="1"/>
    </xf>
    <xf numFmtId="42" fontId="2" fillId="11" borderId="77" xfId="9" applyNumberFormat="1" applyFont="1" applyFill="1" applyBorder="1" applyProtection="1">
      <protection hidden="1"/>
    </xf>
    <xf numFmtId="42" fontId="2" fillId="11" borderId="76" xfId="7" applyNumberFormat="1" applyFont="1" applyFill="1" applyBorder="1" applyProtection="1">
      <protection hidden="1"/>
    </xf>
    <xf numFmtId="0" fontId="1" fillId="11" borderId="77" xfId="7" applyFont="1" applyFill="1" applyBorder="1" applyProtection="1">
      <protection hidden="1"/>
    </xf>
    <xf numFmtId="42" fontId="2" fillId="11" borderId="66" xfId="7" applyNumberFormat="1" applyFont="1" applyFill="1" applyBorder="1" applyProtection="1">
      <protection hidden="1"/>
    </xf>
    <xf numFmtId="0" fontId="1" fillId="0" borderId="0" xfId="7" applyFont="1" applyFill="1" applyBorder="1" applyAlignment="1" applyProtection="1">
      <alignment horizontal="center"/>
      <protection hidden="1"/>
    </xf>
    <xf numFmtId="0" fontId="1" fillId="0" borderId="0" xfId="7" applyFont="1" applyFill="1" applyBorder="1" applyAlignment="1" applyProtection="1">
      <alignment horizontal="center" wrapText="1"/>
      <protection hidden="1"/>
    </xf>
    <xf numFmtId="42" fontId="2" fillId="0" borderId="0" xfId="9" applyNumberFormat="1" applyFont="1" applyFill="1" applyBorder="1" applyProtection="1">
      <protection hidden="1"/>
    </xf>
    <xf numFmtId="0" fontId="34" fillId="0" borderId="0" xfId="7" applyFont="1" applyFill="1" applyBorder="1" applyAlignment="1" applyProtection="1">
      <alignment horizontal="left" vertical="top"/>
      <protection hidden="1"/>
    </xf>
    <xf numFmtId="0" fontId="34" fillId="0" borderId="0" xfId="7" applyFont="1" applyFill="1" applyBorder="1" applyAlignment="1" applyProtection="1">
      <alignment horizontal="left" vertical="top" wrapText="1"/>
      <protection hidden="1"/>
    </xf>
    <xf numFmtId="0" fontId="2" fillId="11" borderId="5" xfId="7" applyFont="1" applyFill="1" applyBorder="1" applyAlignment="1" applyProtection="1">
      <alignment horizontal="center" wrapText="1"/>
      <protection hidden="1"/>
    </xf>
    <xf numFmtId="0" fontId="50" fillId="12" borderId="0" xfId="0" applyFont="1" applyFill="1" applyBorder="1" applyAlignment="1">
      <alignment horizontal="left" vertical="center"/>
    </xf>
    <xf numFmtId="0" fontId="50" fillId="12" borderId="0" xfId="0" applyFont="1" applyFill="1" applyBorder="1" applyAlignment="1">
      <alignment horizontal="left"/>
    </xf>
    <xf numFmtId="0" fontId="50" fillId="13" borderId="0" xfId="0" applyFont="1" applyFill="1" applyBorder="1" applyAlignment="1">
      <alignment horizontal="left"/>
    </xf>
    <xf numFmtId="0" fontId="1" fillId="0" borderId="0" xfId="7" applyFont="1" applyFill="1" applyBorder="1" applyAlignment="1">
      <alignment horizontal="left" vertical="top" wrapText="1"/>
    </xf>
    <xf numFmtId="0" fontId="51" fillId="0" borderId="0" xfId="0" applyFont="1" applyFill="1" applyBorder="1"/>
    <xf numFmtId="9" fontId="51" fillId="0" borderId="0" xfId="0" applyNumberFormat="1" applyFont="1" applyFill="1" applyBorder="1"/>
    <xf numFmtId="0" fontId="2" fillId="6" borderId="16" xfId="1" applyFont="1" applyFill="1" applyBorder="1"/>
    <xf numFmtId="0" fontId="52" fillId="10" borderId="0" xfId="10" applyFont="1" applyFill="1"/>
    <xf numFmtId="0" fontId="52" fillId="10" borderId="0" xfId="10" quotePrefix="1" applyFont="1" applyFill="1"/>
    <xf numFmtId="0" fontId="2" fillId="0" borderId="16" xfId="1" applyFont="1" applyFill="1" applyBorder="1"/>
    <xf numFmtId="0" fontId="1" fillId="0" borderId="0" xfId="1" applyFont="1" applyFill="1" applyBorder="1"/>
    <xf numFmtId="0" fontId="2" fillId="0" borderId="16" xfId="1" applyFont="1" applyFill="1" applyBorder="1" applyAlignment="1">
      <alignment horizontal="center"/>
    </xf>
    <xf numFmtId="44" fontId="1" fillId="0" borderId="0" xfId="3" applyFont="1" applyFill="1" applyBorder="1" applyAlignment="1">
      <alignment horizontal="center"/>
    </xf>
    <xf numFmtId="44" fontId="1" fillId="0" borderId="0" xfId="3" applyFont="1" applyFill="1" applyBorder="1"/>
    <xf numFmtId="44" fontId="1" fillId="0" borderId="0" xfId="1" applyNumberFormat="1" applyFont="1" applyFill="1" applyBorder="1"/>
    <xf numFmtId="0" fontId="1" fillId="0" borderId="16" xfId="1" applyFont="1" applyFill="1" applyBorder="1"/>
    <xf numFmtId="0" fontId="2" fillId="0" borderId="17" xfId="1" applyFont="1" applyFill="1" applyBorder="1" applyAlignment="1">
      <alignment horizontal="center"/>
    </xf>
    <xf numFmtId="0" fontId="2" fillId="6" borderId="17" xfId="3" applyNumberFormat="1" applyFont="1" applyFill="1" applyBorder="1" applyAlignment="1">
      <alignment horizontal="center"/>
    </xf>
    <xf numFmtId="0" fontId="1" fillId="0" borderId="17" xfId="3" applyNumberFormat="1" applyFont="1" applyFill="1" applyBorder="1" applyAlignment="1">
      <alignment horizontal="center"/>
    </xf>
    <xf numFmtId="0" fontId="1" fillId="6" borderId="17" xfId="3" applyNumberFormat="1" applyFont="1" applyFill="1" applyBorder="1" applyAlignment="1">
      <alignment horizontal="center"/>
    </xf>
    <xf numFmtId="0" fontId="1" fillId="0" borderId="16" xfId="1" applyFont="1" applyFill="1" applyBorder="1" applyAlignment="1">
      <alignment horizontal="left" indent="2"/>
    </xf>
    <xf numFmtId="42" fontId="1" fillId="0" borderId="17" xfId="3" applyNumberFormat="1" applyFont="1" applyFill="1" applyBorder="1" applyAlignment="1">
      <alignment horizontal="center"/>
    </xf>
    <xf numFmtId="0" fontId="2" fillId="0" borderId="75" xfId="1" applyFont="1" applyFill="1" applyBorder="1" applyAlignment="1">
      <alignment horizontal="left"/>
    </xf>
    <xf numFmtId="42" fontId="2" fillId="0" borderId="74" xfId="3" applyNumberFormat="1" applyFont="1" applyFill="1" applyBorder="1" applyAlignment="1">
      <alignment horizontal="center"/>
    </xf>
    <xf numFmtId="42" fontId="1" fillId="6" borderId="17" xfId="3" applyNumberFormat="1" applyFont="1" applyFill="1" applyBorder="1" applyAlignment="1">
      <alignment horizontal="center"/>
    </xf>
    <xf numFmtId="0" fontId="2" fillId="0" borderId="16" xfId="1" applyFont="1" applyFill="1" applyBorder="1" applyAlignment="1">
      <alignment horizontal="left" indent="2"/>
    </xf>
    <xf numFmtId="44" fontId="1" fillId="0" borderId="17" xfId="3" applyFont="1" applyFill="1" applyBorder="1" applyAlignment="1">
      <alignment horizontal="center"/>
    </xf>
    <xf numFmtId="0" fontId="1" fillId="0" borderId="16" xfId="1" applyFont="1" applyFill="1" applyBorder="1" applyAlignment="1">
      <alignment horizontal="left" indent="4"/>
    </xf>
    <xf numFmtId="0" fontId="2" fillId="0" borderId="75" xfId="1" applyFont="1" applyFill="1" applyBorder="1" applyAlignment="1">
      <alignment horizontal="left" indent="2"/>
    </xf>
    <xf numFmtId="42" fontId="2" fillId="0" borderId="17" xfId="3" applyNumberFormat="1" applyFont="1" applyFill="1" applyBorder="1" applyAlignment="1">
      <alignment horizontal="center"/>
    </xf>
    <xf numFmtId="0" fontId="1" fillId="0" borderId="16" xfId="1" applyFont="1" applyFill="1" applyBorder="1" applyAlignment="1">
      <alignment horizontal="left" indent="3"/>
    </xf>
    <xf numFmtId="0" fontId="1" fillId="0" borderId="16" xfId="7" applyFont="1" applyFill="1" applyBorder="1" applyAlignment="1" applyProtection="1">
      <alignment horizontal="left" indent="4"/>
      <protection hidden="1"/>
    </xf>
    <xf numFmtId="42" fontId="1" fillId="0" borderId="74" xfId="3" applyNumberFormat="1" applyFont="1" applyFill="1" applyBorder="1" applyAlignment="1">
      <alignment horizontal="center"/>
    </xf>
    <xf numFmtId="0" fontId="1" fillId="0" borderId="16" xfId="7" applyFont="1" applyFill="1" applyBorder="1" applyAlignment="1" applyProtection="1">
      <alignment horizontal="left" wrapText="1" indent="4"/>
      <protection hidden="1"/>
    </xf>
    <xf numFmtId="0" fontId="2" fillId="0" borderId="75" xfId="1" applyFont="1" applyFill="1" applyBorder="1"/>
    <xf numFmtId="42" fontId="2" fillId="6" borderId="17" xfId="3" applyNumberFormat="1" applyFont="1" applyFill="1" applyBorder="1" applyAlignment="1">
      <alignment horizontal="center"/>
    </xf>
    <xf numFmtId="0" fontId="1" fillId="0" borderId="17" xfId="1" applyFont="1" applyFill="1" applyBorder="1"/>
    <xf numFmtId="44" fontId="2" fillId="0" borderId="16" xfId="3" applyFont="1" applyFill="1" applyBorder="1" applyAlignment="1">
      <alignment horizontal="left"/>
    </xf>
    <xf numFmtId="44" fontId="1" fillId="0" borderId="17" xfId="3" applyFont="1" applyFill="1" applyBorder="1"/>
    <xf numFmtId="44" fontId="1" fillId="0" borderId="17" xfId="1" applyNumberFormat="1" applyFont="1" applyFill="1" applyBorder="1"/>
    <xf numFmtId="0" fontId="1" fillId="0" borderId="20" xfId="1" applyFont="1" applyFill="1" applyBorder="1"/>
    <xf numFmtId="0" fontId="1" fillId="0" borderId="22" xfId="1" applyFont="1" applyFill="1" applyBorder="1"/>
    <xf numFmtId="0" fontId="2" fillId="0" borderId="12" xfId="1" applyFont="1" applyFill="1" applyBorder="1" applyAlignment="1">
      <alignment horizontal="center"/>
    </xf>
    <xf numFmtId="0" fontId="2" fillId="6" borderId="12" xfId="3" applyNumberFormat="1" applyFont="1" applyFill="1" applyBorder="1" applyAlignment="1">
      <alignment horizontal="center"/>
    </xf>
    <xf numFmtId="0" fontId="1" fillId="0" borderId="12" xfId="3" applyNumberFormat="1" applyFont="1" applyFill="1" applyBorder="1" applyAlignment="1">
      <alignment horizontal="center"/>
    </xf>
    <xf numFmtId="0" fontId="1" fillId="6" borderId="12" xfId="3" applyNumberFormat="1" applyFont="1" applyFill="1" applyBorder="1" applyAlignment="1">
      <alignment horizontal="center"/>
    </xf>
    <xf numFmtId="42" fontId="1" fillId="0" borderId="12" xfId="3" applyNumberFormat="1" applyFont="1" applyFill="1" applyBorder="1" applyAlignment="1">
      <alignment horizontal="center"/>
    </xf>
    <xf numFmtId="42" fontId="2" fillId="0" borderId="76" xfId="3" applyNumberFormat="1" applyFont="1" applyFill="1" applyBorder="1" applyAlignment="1">
      <alignment horizontal="center"/>
    </xf>
    <xf numFmtId="42" fontId="1" fillId="6" borderId="12" xfId="3" applyNumberFormat="1" applyFont="1" applyFill="1" applyBorder="1" applyAlignment="1">
      <alignment horizontal="center"/>
    </xf>
    <xf numFmtId="44" fontId="1" fillId="0" borderId="12" xfId="3" applyFont="1" applyFill="1" applyBorder="1" applyAlignment="1">
      <alignment horizontal="center"/>
    </xf>
    <xf numFmtId="42" fontId="2" fillId="0" borderId="12" xfId="3" applyNumberFormat="1" applyFont="1" applyFill="1" applyBorder="1" applyAlignment="1">
      <alignment horizontal="center"/>
    </xf>
    <xf numFmtId="42" fontId="1" fillId="0" borderId="76" xfId="3" applyNumberFormat="1" applyFont="1" applyFill="1" applyBorder="1" applyAlignment="1">
      <alignment horizontal="center"/>
    </xf>
    <xf numFmtId="42" fontId="2" fillId="6" borderId="12" xfId="3" applyNumberFormat="1" applyFont="1" applyFill="1" applyBorder="1" applyAlignment="1">
      <alignment horizontal="center"/>
    </xf>
    <xf numFmtId="0" fontId="1" fillId="0" borderId="78" xfId="1" applyFont="1" applyFill="1" applyBorder="1"/>
    <xf numFmtId="9" fontId="38" fillId="11" borderId="2" xfId="7" applyNumberFormat="1" applyFont="1" applyFill="1" applyBorder="1" applyProtection="1">
      <protection locked="0"/>
    </xf>
    <xf numFmtId="0" fontId="38" fillId="11" borderId="2" xfId="7" applyFont="1" applyFill="1" applyBorder="1" applyProtection="1">
      <protection locked="0"/>
    </xf>
    <xf numFmtId="0" fontId="53" fillId="10" borderId="0" xfId="7" applyFont="1" applyFill="1" applyBorder="1" applyProtection="1"/>
    <xf numFmtId="0" fontId="1" fillId="0" borderId="52" xfId="1" applyFont="1" applyFill="1" applyBorder="1"/>
    <xf numFmtId="0" fontId="1" fillId="0" borderId="89" xfId="1" applyFont="1" applyFill="1" applyBorder="1"/>
    <xf numFmtId="0" fontId="1" fillId="0" borderId="52" xfId="1" applyFont="1" applyFill="1" applyBorder="1" applyAlignment="1">
      <alignment vertical="top"/>
    </xf>
    <xf numFmtId="0" fontId="45" fillId="0" borderId="52" xfId="1" applyFont="1" applyFill="1" applyBorder="1" applyAlignment="1">
      <alignment vertical="top"/>
    </xf>
    <xf numFmtId="0" fontId="1" fillId="0" borderId="72" xfId="1" applyFont="1" applyFill="1" applyBorder="1"/>
    <xf numFmtId="0" fontId="1" fillId="0" borderId="18" xfId="1" applyFont="1" applyFill="1" applyBorder="1"/>
    <xf numFmtId="0" fontId="1" fillId="0" borderId="70" xfId="1" applyFont="1" applyFill="1" applyBorder="1"/>
    <xf numFmtId="0" fontId="10" fillId="6" borderId="10" xfId="7" applyFill="1" applyBorder="1" applyProtection="1"/>
    <xf numFmtId="0" fontId="10" fillId="6" borderId="2" xfId="7" applyFill="1" applyBorder="1" applyProtection="1"/>
    <xf numFmtId="0" fontId="1" fillId="6" borderId="10" xfId="7" applyFont="1" applyFill="1" applyBorder="1" applyProtection="1"/>
    <xf numFmtId="0" fontId="1" fillId="6" borderId="2" xfId="7" applyFont="1" applyFill="1" applyBorder="1" applyProtection="1"/>
    <xf numFmtId="0" fontId="38" fillId="6" borderId="10" xfId="7" applyFont="1" applyFill="1" applyBorder="1" applyProtection="1"/>
    <xf numFmtId="0" fontId="38" fillId="6" borderId="2" xfId="7" applyFont="1" applyFill="1" applyBorder="1" applyProtection="1"/>
    <xf numFmtId="0" fontId="38" fillId="6" borderId="10" xfId="7" applyFont="1" applyFill="1" applyBorder="1" applyAlignment="1" applyProtection="1">
      <alignment vertical="center"/>
    </xf>
    <xf numFmtId="0" fontId="38" fillId="6" borderId="2" xfId="7" applyFont="1" applyFill="1" applyBorder="1" applyAlignment="1" applyProtection="1">
      <alignment vertical="center"/>
    </xf>
    <xf numFmtId="9" fontId="38" fillId="11" borderId="10" xfId="8" applyFont="1" applyFill="1" applyBorder="1" applyAlignment="1" applyProtection="1">
      <alignment horizontal="center"/>
      <protection locked="0"/>
    </xf>
    <xf numFmtId="9" fontId="38" fillId="11" borderId="2" xfId="8" applyFont="1" applyFill="1" applyBorder="1" applyAlignment="1" applyProtection="1">
      <alignment horizontal="center"/>
      <protection locked="0"/>
    </xf>
    <xf numFmtId="0" fontId="54" fillId="10" borderId="0" xfId="1" applyFont="1" applyFill="1"/>
    <xf numFmtId="0" fontId="9" fillId="10" borderId="0" xfId="0" applyFont="1" applyFill="1" applyBorder="1" applyAlignment="1">
      <alignment horizontal="left"/>
    </xf>
    <xf numFmtId="0" fontId="1" fillId="10" borderId="0" xfId="1" applyFont="1" applyFill="1" applyBorder="1" applyAlignment="1">
      <alignment horizontal="left" vertical="center" wrapText="1"/>
    </xf>
    <xf numFmtId="0" fontId="1" fillId="10" borderId="21" xfId="1" applyFont="1" applyFill="1" applyBorder="1" applyAlignment="1">
      <alignment horizontal="left" vertical="top" wrapText="1"/>
    </xf>
    <xf numFmtId="0" fontId="35" fillId="12" borderId="13" xfId="1" applyFont="1" applyFill="1" applyBorder="1" applyAlignment="1">
      <alignment horizontal="center" vertical="center"/>
    </xf>
    <xf numFmtId="0" fontId="35" fillId="12" borderId="14" xfId="1" applyFont="1" applyFill="1" applyBorder="1" applyAlignment="1">
      <alignment horizontal="center" vertical="center"/>
    </xf>
    <xf numFmtId="0" fontId="35" fillId="12" borderId="15" xfId="1" applyFont="1" applyFill="1" applyBorder="1" applyAlignment="1">
      <alignment horizontal="center" vertical="center"/>
    </xf>
    <xf numFmtId="0" fontId="1" fillId="10" borderId="0" xfId="1" applyFont="1" applyFill="1" applyBorder="1" applyAlignment="1">
      <alignment horizontal="left" vertical="top" wrapText="1"/>
    </xf>
    <xf numFmtId="0" fontId="1" fillId="10" borderId="62" xfId="1" applyFont="1" applyFill="1" applyBorder="1" applyAlignment="1">
      <alignment horizontal="left" vertical="top" wrapText="1"/>
    </xf>
    <xf numFmtId="0" fontId="41" fillId="0" borderId="0" xfId="0" applyFont="1" applyBorder="1" applyAlignment="1">
      <alignment horizontal="left" vertical="top" wrapText="1"/>
    </xf>
    <xf numFmtId="0" fontId="1" fillId="11" borderId="4" xfId="1" applyFont="1" applyFill="1" applyBorder="1" applyAlignment="1">
      <alignment horizontal="left" vertical="center" wrapText="1" indent="1"/>
    </xf>
    <xf numFmtId="0" fontId="1" fillId="11" borderId="9" xfId="1" applyFont="1" applyFill="1" applyBorder="1" applyAlignment="1">
      <alignment horizontal="left" vertical="center" wrapText="1" indent="1"/>
    </xf>
    <xf numFmtId="0" fontId="1" fillId="11" borderId="10" xfId="1" applyFont="1" applyFill="1" applyBorder="1" applyAlignment="1">
      <alignment horizontal="left" vertical="center" wrapText="1" indent="1"/>
    </xf>
    <xf numFmtId="0" fontId="2" fillId="10" borderId="0" xfId="1" applyFont="1" applyFill="1" applyBorder="1" applyAlignment="1">
      <alignment horizontal="left" vertical="top" wrapText="1"/>
    </xf>
    <xf numFmtId="0" fontId="2" fillId="6" borderId="56" xfId="1" applyFont="1" applyFill="1" applyBorder="1" applyAlignment="1">
      <alignment horizontal="center" vertical="center"/>
    </xf>
    <xf numFmtId="0" fontId="2" fillId="6" borderId="0" xfId="1" applyFont="1" applyFill="1" applyBorder="1" applyAlignment="1">
      <alignment horizontal="center" vertical="center"/>
    </xf>
    <xf numFmtId="0" fontId="2" fillId="6" borderId="57" xfId="1" applyFont="1" applyFill="1" applyBorder="1" applyAlignment="1">
      <alignment horizontal="center" vertical="center"/>
    </xf>
    <xf numFmtId="0" fontId="52" fillId="10" borderId="0" xfId="10" applyFont="1" applyFill="1" applyBorder="1" applyAlignment="1" applyProtection="1">
      <alignment horizontal="left" wrapText="1"/>
    </xf>
    <xf numFmtId="0" fontId="41" fillId="0" borderId="0" xfId="0" applyFont="1" applyAlignment="1">
      <alignment horizontal="left" vertical="top" wrapText="1"/>
    </xf>
    <xf numFmtId="0" fontId="1" fillId="11" borderId="58" xfId="1" applyFont="1" applyFill="1" applyBorder="1" applyAlignment="1">
      <alignment horizontal="left" vertical="center" wrapText="1" indent="1"/>
    </xf>
    <xf numFmtId="0" fontId="1" fillId="11" borderId="59" xfId="1" applyFont="1" applyFill="1" applyBorder="1" applyAlignment="1">
      <alignment horizontal="left" vertical="center" wrapText="1" indent="1"/>
    </xf>
    <xf numFmtId="0" fontId="1" fillId="11" borderId="60" xfId="1" applyFont="1" applyFill="1" applyBorder="1" applyAlignment="1">
      <alignment horizontal="left" vertical="center" wrapText="1" indent="1"/>
    </xf>
    <xf numFmtId="0" fontId="41" fillId="0" borderId="0" xfId="0" applyFont="1" applyAlignment="1">
      <alignment horizontal="left" vertical="top"/>
    </xf>
    <xf numFmtId="0" fontId="39" fillId="12" borderId="53" xfId="1" applyFont="1" applyFill="1" applyBorder="1" applyAlignment="1">
      <alignment horizontal="center" vertical="center"/>
    </xf>
    <xf numFmtId="0" fontId="39" fillId="12" borderId="54" xfId="1" applyFont="1" applyFill="1" applyBorder="1" applyAlignment="1">
      <alignment horizontal="center" vertical="center"/>
    </xf>
    <xf numFmtId="0" fontId="39" fillId="12" borderId="55" xfId="1" applyFont="1" applyFill="1" applyBorder="1" applyAlignment="1">
      <alignment horizontal="center" vertical="center"/>
    </xf>
    <xf numFmtId="0" fontId="39" fillId="12" borderId="4" xfId="7" applyFont="1" applyFill="1" applyBorder="1" applyAlignment="1" applyProtection="1">
      <alignment horizontal="center" vertical="center"/>
    </xf>
    <xf numFmtId="0" fontId="39" fillId="12" borderId="9" xfId="7" applyFont="1" applyFill="1" applyBorder="1" applyAlignment="1" applyProtection="1">
      <alignment horizontal="center" vertical="center"/>
    </xf>
    <xf numFmtId="0" fontId="39" fillId="12" borderId="10" xfId="7" applyFont="1" applyFill="1" applyBorder="1" applyAlignment="1" applyProtection="1">
      <alignment horizontal="center" vertical="center"/>
    </xf>
    <xf numFmtId="0" fontId="39" fillId="12" borderId="4" xfId="7" applyFont="1" applyFill="1" applyBorder="1" applyAlignment="1" applyProtection="1">
      <alignment horizontal="center" vertical="center" wrapText="1"/>
      <protection hidden="1"/>
    </xf>
    <xf numFmtId="0" fontId="39" fillId="12" borderId="9" xfId="7" applyFont="1" applyFill="1" applyBorder="1" applyAlignment="1" applyProtection="1">
      <alignment horizontal="center" vertical="center" wrapText="1"/>
      <protection hidden="1"/>
    </xf>
    <xf numFmtId="0" fontId="39" fillId="12" borderId="10" xfId="7" applyFont="1" applyFill="1" applyBorder="1" applyAlignment="1" applyProtection="1">
      <alignment horizontal="center" vertical="center" wrapText="1"/>
      <protection hidden="1"/>
    </xf>
    <xf numFmtId="0" fontId="39" fillId="12" borderId="4" xfId="7" applyFont="1" applyFill="1" applyBorder="1" applyAlignment="1" applyProtection="1">
      <alignment horizontal="center" wrapText="1"/>
    </xf>
    <xf numFmtId="0" fontId="39" fillId="12" borderId="10" xfId="7" applyFont="1" applyFill="1" applyBorder="1" applyAlignment="1" applyProtection="1">
      <alignment horizontal="center" wrapText="1"/>
    </xf>
    <xf numFmtId="0" fontId="1" fillId="11" borderId="2" xfId="7" applyFont="1" applyFill="1" applyBorder="1" applyAlignment="1" applyProtection="1">
      <alignment horizontal="center" wrapText="1"/>
      <protection locked="0"/>
    </xf>
    <xf numFmtId="0" fontId="39" fillId="12" borderId="4" xfId="7" applyFont="1" applyFill="1" applyBorder="1" applyAlignment="1" applyProtection="1">
      <alignment horizontal="center" vertical="center" wrapText="1"/>
    </xf>
    <xf numFmtId="0" fontId="39" fillId="12" borderId="9" xfId="7" applyFont="1" applyFill="1" applyBorder="1" applyAlignment="1" applyProtection="1">
      <alignment horizontal="center" vertical="center" wrapText="1"/>
    </xf>
    <xf numFmtId="0" fontId="39" fillId="12" borderId="10" xfId="7" applyFont="1" applyFill="1" applyBorder="1" applyAlignment="1" applyProtection="1">
      <alignment horizontal="center" vertical="center" wrapText="1"/>
    </xf>
    <xf numFmtId="0" fontId="37" fillId="11" borderId="2" xfId="7" applyFont="1" applyFill="1" applyBorder="1" applyAlignment="1" applyProtection="1">
      <alignment horizontal="center" wrapText="1"/>
      <protection locked="0"/>
    </xf>
    <xf numFmtId="0" fontId="39" fillId="12" borderId="11" xfId="7" applyFont="1" applyFill="1" applyBorder="1" applyAlignment="1" applyProtection="1">
      <alignment horizontal="center" vertical="center" textRotation="90" wrapText="1"/>
    </xf>
    <xf numFmtId="0" fontId="39" fillId="12" borderId="12" xfId="7" applyFont="1" applyFill="1" applyBorder="1" applyAlignment="1" applyProtection="1">
      <alignment horizontal="center" vertical="center" textRotation="90" wrapText="1"/>
    </xf>
    <xf numFmtId="0" fontId="39" fillId="12" borderId="8" xfId="7" applyFont="1" applyFill="1" applyBorder="1" applyAlignment="1" applyProtection="1">
      <alignment horizontal="center" vertical="center" textRotation="90" wrapText="1"/>
    </xf>
    <xf numFmtId="0" fontId="39" fillId="12" borderId="2" xfId="7" applyFont="1" applyFill="1" applyBorder="1" applyAlignment="1" applyProtection="1">
      <alignment horizontal="center" vertical="center" textRotation="90" wrapText="1"/>
    </xf>
    <xf numFmtId="0" fontId="39" fillId="12" borderId="2" xfId="7" applyFont="1" applyFill="1" applyBorder="1" applyAlignment="1" applyProtection="1">
      <alignment horizontal="center" vertical="center"/>
    </xf>
    <xf numFmtId="0" fontId="2" fillId="0" borderId="9" xfId="7" applyFont="1" applyFill="1" applyBorder="1" applyAlignment="1" applyProtection="1">
      <alignment horizontal="center" wrapText="1"/>
    </xf>
    <xf numFmtId="0" fontId="2" fillId="0" borderId="10" xfId="7" applyFont="1" applyFill="1" applyBorder="1" applyAlignment="1" applyProtection="1">
      <alignment horizontal="center" wrapText="1"/>
    </xf>
    <xf numFmtId="0" fontId="2" fillId="0" borderId="71" xfId="7" applyFont="1" applyFill="1" applyBorder="1" applyAlignment="1" applyProtection="1">
      <alignment horizontal="center" vertical="center" wrapText="1"/>
    </xf>
    <xf numFmtId="0" fontId="2" fillId="0" borderId="73" xfId="7" applyFont="1" applyFill="1" applyBorder="1" applyAlignment="1" applyProtection="1">
      <alignment horizontal="center" vertical="center" wrapText="1"/>
    </xf>
    <xf numFmtId="0" fontId="2" fillId="0" borderId="68" xfId="7" applyFont="1" applyFill="1" applyBorder="1" applyAlignment="1" applyProtection="1">
      <alignment horizontal="center" vertical="center" wrapText="1"/>
    </xf>
    <xf numFmtId="0" fontId="2" fillId="0" borderId="72" xfId="7" applyFont="1" applyFill="1" applyBorder="1" applyAlignment="1" applyProtection="1">
      <alignment horizontal="center" vertical="center" wrapText="1"/>
    </xf>
    <xf numFmtId="0" fontId="2" fillId="0" borderId="18" xfId="7" applyFont="1" applyFill="1" applyBorder="1" applyAlignment="1" applyProtection="1">
      <alignment horizontal="center" vertical="center" wrapText="1"/>
    </xf>
    <xf numFmtId="0" fontId="2" fillId="0" borderId="70" xfId="7" applyFont="1" applyFill="1" applyBorder="1" applyAlignment="1" applyProtection="1">
      <alignment horizontal="center" vertical="center" wrapText="1"/>
    </xf>
    <xf numFmtId="0" fontId="39" fillId="12" borderId="9" xfId="7" applyFont="1" applyFill="1" applyBorder="1" applyAlignment="1" applyProtection="1">
      <alignment horizontal="center" wrapText="1"/>
    </xf>
    <xf numFmtId="0" fontId="50" fillId="10" borderId="0" xfId="0" applyFont="1" applyFill="1" applyBorder="1" applyAlignment="1">
      <alignment horizontal="left"/>
    </xf>
    <xf numFmtId="0" fontId="2" fillId="0" borderId="16" xfId="1" applyFont="1" applyFill="1" applyBorder="1" applyAlignment="1">
      <alignment horizontal="center"/>
    </xf>
    <xf numFmtId="0" fontId="2" fillId="0" borderId="0" xfId="1" applyFont="1" applyFill="1" applyBorder="1" applyAlignment="1">
      <alignment horizontal="center"/>
    </xf>
    <xf numFmtId="0" fontId="2" fillId="0" borderId="17" xfId="1" applyFont="1" applyFill="1" applyBorder="1" applyAlignment="1">
      <alignment horizontal="center"/>
    </xf>
    <xf numFmtId="0" fontId="39" fillId="12" borderId="13" xfId="1" applyFont="1" applyFill="1" applyBorder="1" applyAlignment="1">
      <alignment horizontal="center"/>
    </xf>
    <xf numFmtId="0" fontId="39" fillId="12" borderId="14" xfId="1" applyFont="1" applyFill="1" applyBorder="1" applyAlignment="1">
      <alignment horizontal="center"/>
    </xf>
    <xf numFmtId="0" fontId="39" fillId="12" borderId="15" xfId="1" applyFont="1" applyFill="1" applyBorder="1" applyAlignment="1">
      <alignment horizontal="center"/>
    </xf>
    <xf numFmtId="0" fontId="1" fillId="0" borderId="0" xfId="7" applyFont="1" applyFill="1" applyBorder="1" applyAlignment="1" applyProtection="1">
      <alignment wrapText="1"/>
      <protection hidden="1"/>
    </xf>
    <xf numFmtId="0" fontId="39" fillId="12" borderId="64" xfId="7" applyFont="1" applyFill="1" applyBorder="1" applyAlignment="1" applyProtection="1">
      <alignment horizontal="center"/>
      <protection hidden="1"/>
    </xf>
    <xf numFmtId="0" fontId="39" fillId="12" borderId="50" xfId="7" applyFont="1" applyFill="1" applyBorder="1" applyAlignment="1" applyProtection="1">
      <alignment horizontal="center"/>
      <protection hidden="1"/>
    </xf>
    <xf numFmtId="0" fontId="39" fillId="12" borderId="65" xfId="7" applyFont="1" applyFill="1" applyBorder="1" applyAlignment="1" applyProtection="1">
      <alignment horizontal="center"/>
      <protection hidden="1"/>
    </xf>
    <xf numFmtId="165" fontId="22" fillId="0" borderId="48" xfId="0" applyNumberFormat="1" applyFont="1" applyFill="1" applyBorder="1" applyAlignment="1" applyProtection="1">
      <alignment horizontal="left" vertical="top" wrapText="1"/>
      <protection locked="0"/>
    </xf>
    <xf numFmtId="165" fontId="22" fillId="0" borderId="51" xfId="0" applyNumberFormat="1" applyFont="1" applyFill="1" applyBorder="1" applyAlignment="1" applyProtection="1">
      <alignment horizontal="left" vertical="top" wrapText="1"/>
      <protection locked="0"/>
    </xf>
    <xf numFmtId="165" fontId="22" fillId="0" borderId="45"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wrapText="1"/>
      <protection locked="0"/>
    </xf>
    <xf numFmtId="164" fontId="22" fillId="0" borderId="4" xfId="0" applyNumberFormat="1" applyFont="1" applyFill="1" applyBorder="1" applyAlignment="1" applyProtection="1">
      <alignment vertical="top" wrapText="1"/>
      <protection locked="0"/>
    </xf>
    <xf numFmtId="164" fontId="22" fillId="0" borderId="9" xfId="0" applyNumberFormat="1" applyFont="1" applyFill="1" applyBorder="1" applyAlignment="1" applyProtection="1">
      <alignment vertical="top" wrapText="1"/>
      <protection locked="0"/>
    </xf>
    <xf numFmtId="164" fontId="22" fillId="0" borderId="10" xfId="0" applyNumberFormat="1" applyFont="1" applyFill="1" applyBorder="1" applyAlignment="1" applyProtection="1">
      <alignment vertical="top" wrapText="1"/>
      <protection locked="0"/>
    </xf>
    <xf numFmtId="166" fontId="22" fillId="0" borderId="4" xfId="0" applyNumberFormat="1" applyFont="1" applyFill="1" applyBorder="1" applyAlignment="1" applyProtection="1">
      <alignment horizontal="left" vertical="top" wrapText="1"/>
      <protection locked="0"/>
    </xf>
    <xf numFmtId="166" fontId="22" fillId="0" borderId="9" xfId="0" applyNumberFormat="1" applyFont="1" applyFill="1" applyBorder="1" applyAlignment="1" applyProtection="1">
      <alignment horizontal="left" vertical="top" wrapText="1"/>
      <protection locked="0"/>
    </xf>
    <xf numFmtId="166" fontId="22" fillId="0" borderId="10" xfId="0" applyNumberFormat="1" applyFont="1" applyFill="1" applyBorder="1" applyAlignment="1" applyProtection="1">
      <alignment horizontal="left" vertical="top" wrapText="1"/>
      <protection locked="0"/>
    </xf>
    <xf numFmtId="0" fontId="20" fillId="0" borderId="49" xfId="0" applyFont="1" applyFill="1" applyBorder="1" applyAlignment="1" applyProtection="1">
      <alignment horizontal="left" wrapText="1"/>
      <protection locked="0"/>
    </xf>
    <xf numFmtId="0" fontId="20" fillId="0" borderId="24" xfId="0" applyFont="1" applyFill="1" applyBorder="1" applyAlignment="1" applyProtection="1">
      <alignment horizontal="left" wrapText="1"/>
      <protection locked="0"/>
    </xf>
    <xf numFmtId="0" fontId="20" fillId="0" borderId="44" xfId="0" applyFont="1" applyFill="1" applyBorder="1" applyAlignment="1" applyProtection="1">
      <alignment horizontal="left" wrapText="1"/>
      <protection locked="0"/>
    </xf>
    <xf numFmtId="164" fontId="22" fillId="0" borderId="46" xfId="0" applyNumberFormat="1" applyFont="1" applyFill="1" applyBorder="1" applyAlignment="1" applyProtection="1">
      <alignment vertical="top" wrapText="1"/>
      <protection locked="0"/>
    </xf>
    <xf numFmtId="164" fontId="22" fillId="0" borderId="50" xfId="0" applyNumberFormat="1" applyFont="1" applyFill="1" applyBorder="1" applyAlignment="1" applyProtection="1">
      <alignment vertical="top" wrapText="1"/>
      <protection locked="0"/>
    </xf>
    <xf numFmtId="164" fontId="22" fillId="0" borderId="47" xfId="0" applyNumberFormat="1" applyFont="1" applyFill="1" applyBorder="1" applyAlignment="1" applyProtection="1">
      <alignment vertical="top" wrapText="1"/>
      <protection locked="0"/>
    </xf>
    <xf numFmtId="0" fontId="6" fillId="0" borderId="4" xfId="1" applyFont="1" applyFill="1" applyBorder="1" applyAlignment="1" applyProtection="1">
      <alignment wrapText="1"/>
      <protection locked="0"/>
    </xf>
    <xf numFmtId="0" fontId="6" fillId="0" borderId="10" xfId="1" applyFont="1" applyFill="1" applyBorder="1" applyAlignment="1" applyProtection="1">
      <alignment wrapText="1"/>
      <protection locked="0"/>
    </xf>
    <xf numFmtId="0" fontId="6" fillId="0" borderId="2" xfId="1" applyFont="1" applyFill="1" applyBorder="1" applyAlignment="1" applyProtection="1">
      <alignment wrapText="1"/>
      <protection locked="0"/>
    </xf>
    <xf numFmtId="0" fontId="23" fillId="0" borderId="2" xfId="0" applyFont="1" applyBorder="1" applyAlignment="1" applyProtection="1">
      <alignment wrapText="1"/>
      <protection locked="0"/>
    </xf>
    <xf numFmtId="0" fontId="24" fillId="8" borderId="2" xfId="1" applyFont="1" applyFill="1" applyBorder="1" applyAlignment="1" applyProtection="1">
      <alignment horizontal="center" wrapText="1"/>
      <protection locked="0"/>
    </xf>
    <xf numFmtId="0" fontId="6" fillId="9" borderId="2" xfId="1" applyFont="1" applyFill="1" applyBorder="1" applyAlignment="1" applyProtection="1">
      <alignment horizontal="center" wrapText="1"/>
      <protection locked="0"/>
    </xf>
    <xf numFmtId="0" fontId="10" fillId="5" borderId="23" xfId="7" applyFill="1" applyBorder="1" applyAlignment="1" applyProtection="1">
      <alignment wrapText="1"/>
      <protection locked="0"/>
    </xf>
    <xf numFmtId="0" fontId="10" fillId="5" borderId="25" xfId="7" applyFill="1" applyBorder="1" applyAlignment="1" applyProtection="1">
      <alignment wrapText="1"/>
      <protection locked="0"/>
    </xf>
    <xf numFmtId="0" fontId="1" fillId="0" borderId="0" xfId="1" applyFont="1" applyFill="1" applyBorder="1" applyAlignment="1">
      <alignment horizontal="left" vertical="top" wrapText="1"/>
    </xf>
    <xf numFmtId="0" fontId="39" fillId="12" borderId="4" xfId="1" applyFont="1" applyFill="1" applyBorder="1" applyAlignment="1">
      <alignment horizontal="center" vertical="center"/>
    </xf>
    <xf numFmtId="0" fontId="39" fillId="12" borderId="9" xfId="1" applyFont="1" applyFill="1" applyBorder="1" applyAlignment="1">
      <alignment horizontal="center" vertical="center"/>
    </xf>
    <xf numFmtId="0" fontId="39" fillId="12" borderId="10" xfId="1" applyFont="1" applyFill="1" applyBorder="1" applyAlignment="1">
      <alignment horizontal="center" vertical="center"/>
    </xf>
    <xf numFmtId="0" fontId="45" fillId="0" borderId="0" xfId="1" applyFont="1" applyFill="1" applyBorder="1" applyAlignment="1">
      <alignment horizontal="left" vertical="top" wrapText="1"/>
    </xf>
    <xf numFmtId="0" fontId="17" fillId="4" borderId="36"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25" xfId="0" applyFont="1" applyFill="1" applyBorder="1" applyAlignment="1">
      <alignment horizontal="center" vertical="center" wrapText="1"/>
    </xf>
  </cellXfs>
  <cellStyles count="12">
    <cellStyle name="Comma 2" xfId="2"/>
    <cellStyle name="Currency" xfId="3" builtinId="4"/>
    <cellStyle name="Currency 2" xfId="6"/>
    <cellStyle name="Currency 3" xfId="9"/>
    <cellStyle name="Followed Hyperlink" xfId="11" builtinId="9" hidden="1"/>
    <cellStyle name="Hyperlink" xfId="10" builtinId="8"/>
    <cellStyle name="Normal" xfId="0" builtinId="0"/>
    <cellStyle name="Normal 2" xfId="1"/>
    <cellStyle name="Normal 3" xfId="4"/>
    <cellStyle name="Normal 4" xfId="7"/>
    <cellStyle name="Percent 2" xfId="5"/>
    <cellStyle name="Percent 3" xfId="8"/>
  </cellStyles>
  <dxfs count="3">
    <dxf>
      <font>
        <color rgb="FFFF0000"/>
      </font>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00CC99"/>
      <color rgb="FF0000CC"/>
      <color rgb="FF1E5883"/>
      <color rgb="FFFFCC00"/>
      <color rgb="FF99CCFF"/>
      <color rgb="FF009999"/>
      <color rgb="FFFFFF99"/>
      <color rgb="FFFF5D5D"/>
      <color rgb="FFFF7575"/>
      <color rgb="FFFF81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1341413644152112"/>
          <c:y val="2.4570348901827056E-2"/>
          <c:w val="0.77515571018739171"/>
          <c:h val="0.57778287615038471"/>
        </c:manualLayout>
      </c:layout>
      <c:bar3DChart>
        <c:barDir val="col"/>
        <c:grouping val="clustered"/>
        <c:varyColors val="0"/>
        <c:ser>
          <c:idx val="0"/>
          <c:order val="0"/>
          <c:tx>
            <c:v>NIEM</c:v>
          </c:tx>
          <c:invertIfNegative val="0"/>
          <c:cat>
            <c:strRef>
              <c:f>'5.0 Summary Analysis'!$C$23:$C$95</c:f>
              <c:strCache>
                <c:ptCount val="73"/>
                <c:pt idx="0">
                  <c:v>Scenario Planning Total</c:v>
                </c:pt>
                <c:pt idx="2">
                  <c:v>Requirements Analysis</c:v>
                </c:pt>
                <c:pt idx="3">
                  <c:v>  Define Information Content and Context</c:v>
                </c:pt>
                <c:pt idx="4">
                  <c:v>  Build Domain Model</c:v>
                </c:pt>
                <c:pt idx="5">
                  <c:v>Requirements Analysis Total</c:v>
                </c:pt>
                <c:pt idx="7">
                  <c:v>Mapping &amp; Modeling</c:v>
                </c:pt>
                <c:pt idx="8">
                  <c:v>  Mapping</c:v>
                </c:pt>
                <c:pt idx="9">
                  <c:v>  Define Terms with Exchange Partner</c:v>
                </c:pt>
                <c:pt idx="10">
                  <c:v>Mapping &amp; Modeling Total</c:v>
                </c:pt>
                <c:pt idx="12">
                  <c:v>Building &amp; Validating</c:v>
                </c:pt>
                <c:pt idx="13">
                  <c:v>  Identify NIEM Reference Schemas</c:v>
                </c:pt>
                <c:pt idx="14">
                  <c:v>  Create NIEM Subset Schema</c:v>
                </c:pt>
                <c:pt idx="15">
                  <c:v>  Create Extension Schema</c:v>
                </c:pt>
                <c:pt idx="16">
                  <c:v>  Create Exchange Schema</c:v>
                </c:pt>
                <c:pt idx="17">
                  <c:v>  Build Constraint Schema</c:v>
                </c:pt>
                <c:pt idx="18">
                  <c:v>  Validate Schema</c:v>
                </c:pt>
                <c:pt idx="19">
                  <c:v>Building &amp; Validating Total</c:v>
                </c:pt>
                <c:pt idx="21">
                  <c:v>Assemble &amp; Document</c:v>
                </c:pt>
                <c:pt idx="22">
                  <c:v>  Develop NIEM Meta-Data Schema</c:v>
                </c:pt>
                <c:pt idx="23">
                  <c:v>  Assemble Required IEPD Artifacts</c:v>
                </c:pt>
                <c:pt idx="24">
                  <c:v>Assemble &amp; Document Total</c:v>
                </c:pt>
                <c:pt idx="26">
                  <c:v>Publish IEPD</c:v>
                </c:pt>
                <c:pt idx="27">
                  <c:v>  Publish IEPD to Repository</c:v>
                </c:pt>
                <c:pt idx="28">
                  <c:v>Total Publish IEPD</c:v>
                </c:pt>
                <c:pt idx="30">
                  <c:v>Data Exchange Design Implementation</c:v>
                </c:pt>
                <c:pt idx="31">
                  <c:v>Design NIEM Instance Creation Rules (Sender)</c:v>
                </c:pt>
                <c:pt idx="32">
                  <c:v>Design NIEM Instance Processing Rules (Receiver)</c:v>
                </c:pt>
                <c:pt idx="33">
                  <c:v>Design NIEM Instance middleware routing rules based on data exchange</c:v>
                </c:pt>
                <c:pt idx="34">
                  <c:v>Document Business Use Cases for data exchange</c:v>
                </c:pt>
                <c:pt idx="35">
                  <c:v>Document Business Test Cases for data exchange</c:v>
                </c:pt>
                <c:pt idx="36">
                  <c:v>MOU's for Data Exchange and Network Services</c:v>
                </c:pt>
                <c:pt idx="37">
                  <c:v>Data Exchange Design Implementation Total</c:v>
                </c:pt>
                <c:pt idx="39">
                  <c:v>Data Exchange Development and Implementation</c:v>
                </c:pt>
                <c:pt idx="40">
                  <c:v>Develop NIEM Instance and Implement Creation Rules</c:v>
                </c:pt>
                <c:pt idx="41">
                  <c:v>Develop NIEM Instance receiver and related system processing rules</c:v>
                </c:pt>
                <c:pt idx="42">
                  <c:v>Develop middleware data exchange business process and routing rules based on the business case</c:v>
                </c:pt>
                <c:pt idx="43">
                  <c:v>Data Exchange Development and Implementation Total</c:v>
                </c:pt>
                <c:pt idx="45">
                  <c:v>Data Exchange Testing</c:v>
                </c:pt>
                <c:pt idx="46">
                  <c:v>Unit Test - sending NIEM Instance and business triggering events</c:v>
                </c:pt>
                <c:pt idx="47">
                  <c:v>Unit Test - receiving NIEM Instance and related display in receiving system</c:v>
                </c:pt>
                <c:pt idx="48">
                  <c:v>Unit Test - middleware for NIEM data exchange instance routing rules based on the business case</c:v>
                </c:pt>
                <c:pt idx="49">
                  <c:v>Integration Test - send NIEM Instance based on testing scenarios</c:v>
                </c:pt>
                <c:pt idx="50">
                  <c:v>Integration Test - receiving NIEM Instance based on testing scenarios</c:v>
                </c:pt>
                <c:pt idx="51">
                  <c:v>Integration Test - routing and business transformation rules for the NIEM instance</c:v>
                </c:pt>
                <c:pt idx="52">
                  <c:v>Data Exchange Testing Total</c:v>
                </c:pt>
                <c:pt idx="54">
                  <c:v>Data Exchange Deployment</c:v>
                </c:pt>
                <c:pt idx="55">
                  <c:v>Deploy NIEM Instance Sending Software</c:v>
                </c:pt>
                <c:pt idx="56">
                  <c:v>Deploy NIEM Instance Receiving Software</c:v>
                </c:pt>
                <c:pt idx="57">
                  <c:v>Deploy NIEM Instance routing and business rule logic</c:v>
                </c:pt>
                <c:pt idx="58">
                  <c:v>Data Exchange Deployment Total</c:v>
                </c:pt>
                <c:pt idx="60">
                  <c:v>Additional Costs</c:v>
                </c:pt>
                <c:pt idx="61">
                  <c:v>Hardware</c:v>
                </c:pt>
                <c:pt idx="62">
                  <c:v>Software</c:v>
                </c:pt>
                <c:pt idx="63">
                  <c:v>Training (Onetime Cost)</c:v>
                </c:pt>
                <c:pt idx="64">
                  <c:v>Additional Costs Total</c:v>
                </c:pt>
                <c:pt idx="66">
                  <c:v>Discount Factors </c:v>
                </c:pt>
                <c:pt idx="67">
                  <c:v>There is an Existing IEPD </c:v>
                </c:pt>
                <c:pt idx="68">
                  <c:v>Adjustment Because All Elements Already Exist in NIEM</c:v>
                </c:pt>
                <c:pt idx="69">
                  <c:v>Adjustment of cost benefit from becoming a part of the NIEM Community</c:v>
                </c:pt>
                <c:pt idx="70">
                  <c:v>Discount Factors  Total</c:v>
                </c:pt>
                <c:pt idx="72">
                  <c:v>Total Expenses</c:v>
                </c:pt>
              </c:strCache>
            </c:strRef>
          </c:cat>
          <c:val>
            <c:numRef>
              <c:f>'5.0 Summary Analysis'!$D$23:$D$95</c:f>
              <c:numCache>
                <c:formatCode>_("$"* #,##0_);_("$"* \(#,##0\);_("$"* "-"_);_(@_)</c:formatCode>
                <c:ptCount val="73"/>
                <c:pt idx="0">
                  <c:v>131664.40000000002</c:v>
                </c:pt>
                <c:pt idx="3">
                  <c:v>56365.2</c:v>
                </c:pt>
                <c:pt idx="4">
                  <c:v>28104.800000000003</c:v>
                </c:pt>
                <c:pt idx="5">
                  <c:v>84470</c:v>
                </c:pt>
                <c:pt idx="8">
                  <c:v>24366.000000000004</c:v>
                </c:pt>
                <c:pt idx="9">
                  <c:v>31496.000000000004</c:v>
                </c:pt>
                <c:pt idx="10">
                  <c:v>55862.000000000007</c:v>
                </c:pt>
                <c:pt idx="13">
                  <c:v>9201</c:v>
                </c:pt>
                <c:pt idx="14">
                  <c:v>3528</c:v>
                </c:pt>
                <c:pt idx="15">
                  <c:v>24385.5</c:v>
                </c:pt>
                <c:pt idx="16">
                  <c:v>19508.400000000001</c:v>
                </c:pt>
                <c:pt idx="17">
                  <c:v>25508.399999999998</c:v>
                </c:pt>
                <c:pt idx="18">
                  <c:v>23041.920000000002</c:v>
                </c:pt>
                <c:pt idx="19">
                  <c:v>105173.22</c:v>
                </c:pt>
                <c:pt idx="22">
                  <c:v>21346.5</c:v>
                </c:pt>
                <c:pt idx="23">
                  <c:v>22038.500000000004</c:v>
                </c:pt>
                <c:pt idx="24">
                  <c:v>43385</c:v>
                </c:pt>
                <c:pt idx="27">
                  <c:v>17092</c:v>
                </c:pt>
                <c:pt idx="28">
                  <c:v>17092</c:v>
                </c:pt>
                <c:pt idx="31">
                  <c:v>27239.600000000002</c:v>
                </c:pt>
                <c:pt idx="32">
                  <c:v>23239.600000000002</c:v>
                </c:pt>
                <c:pt idx="33">
                  <c:v>29049.500000000004</c:v>
                </c:pt>
                <c:pt idx="34">
                  <c:v>9644.7999999999993</c:v>
                </c:pt>
                <c:pt idx="35">
                  <c:v>13846.64</c:v>
                </c:pt>
                <c:pt idx="36">
                  <c:v>39743.4</c:v>
                </c:pt>
                <c:pt idx="37">
                  <c:v>142763.54</c:v>
                </c:pt>
                <c:pt idx="40">
                  <c:v>33650.000000000007</c:v>
                </c:pt>
                <c:pt idx="41">
                  <c:v>33650.000000000007</c:v>
                </c:pt>
                <c:pt idx="42">
                  <c:v>28703.500000000004</c:v>
                </c:pt>
                <c:pt idx="43">
                  <c:v>96003.500000000015</c:v>
                </c:pt>
                <c:pt idx="46">
                  <c:v>26549.88</c:v>
                </c:pt>
                <c:pt idx="47">
                  <c:v>26549.88</c:v>
                </c:pt>
                <c:pt idx="48">
                  <c:v>26549.88</c:v>
                </c:pt>
                <c:pt idx="49">
                  <c:v>22757.040000000001</c:v>
                </c:pt>
                <c:pt idx="50">
                  <c:v>22757.040000000001</c:v>
                </c:pt>
                <c:pt idx="51">
                  <c:v>28757.040000000001</c:v>
                </c:pt>
                <c:pt idx="52">
                  <c:v>153920.76</c:v>
                </c:pt>
                <c:pt idx="55">
                  <c:v>8522.4</c:v>
                </c:pt>
                <c:pt idx="56">
                  <c:v>8522.4</c:v>
                </c:pt>
                <c:pt idx="57">
                  <c:v>8522.4</c:v>
                </c:pt>
                <c:pt idx="58">
                  <c:v>25567.199999999997</c:v>
                </c:pt>
                <c:pt idx="61">
                  <c:v>0</c:v>
                </c:pt>
                <c:pt idx="62">
                  <c:v>0</c:v>
                </c:pt>
                <c:pt idx="63">
                  <c:v>6700</c:v>
                </c:pt>
                <c:pt idx="64">
                  <c:v>6700</c:v>
                </c:pt>
                <c:pt idx="67">
                  <c:v>0</c:v>
                </c:pt>
                <c:pt idx="68">
                  <c:v>0</c:v>
                </c:pt>
                <c:pt idx="69">
                  <c:v>-11176.300000000001</c:v>
                </c:pt>
                <c:pt idx="70">
                  <c:v>-11176.300000000001</c:v>
                </c:pt>
                <c:pt idx="72">
                  <c:v>851425.32</c:v>
                </c:pt>
              </c:numCache>
            </c:numRef>
          </c:val>
        </c:ser>
        <c:ser>
          <c:idx val="1"/>
          <c:order val="1"/>
          <c:tx>
            <c:v>XML</c:v>
          </c:tx>
          <c:invertIfNegative val="0"/>
          <c:cat>
            <c:strRef>
              <c:f>'5.0 Summary Analysis'!$C$23:$C$95</c:f>
              <c:strCache>
                <c:ptCount val="73"/>
                <c:pt idx="0">
                  <c:v>Scenario Planning Total</c:v>
                </c:pt>
                <c:pt idx="2">
                  <c:v>Requirements Analysis</c:v>
                </c:pt>
                <c:pt idx="3">
                  <c:v>  Define Information Content and Context</c:v>
                </c:pt>
                <c:pt idx="4">
                  <c:v>  Build Domain Model</c:v>
                </c:pt>
                <c:pt idx="5">
                  <c:v>Requirements Analysis Total</c:v>
                </c:pt>
                <c:pt idx="7">
                  <c:v>Mapping &amp; Modeling</c:v>
                </c:pt>
                <c:pt idx="8">
                  <c:v>  Mapping</c:v>
                </c:pt>
                <c:pt idx="9">
                  <c:v>  Define Terms with Exchange Partner</c:v>
                </c:pt>
                <c:pt idx="10">
                  <c:v>Mapping &amp; Modeling Total</c:v>
                </c:pt>
                <c:pt idx="12">
                  <c:v>Building &amp; Validating</c:v>
                </c:pt>
                <c:pt idx="13">
                  <c:v>  Identify NIEM Reference Schemas</c:v>
                </c:pt>
                <c:pt idx="14">
                  <c:v>  Create NIEM Subset Schema</c:v>
                </c:pt>
                <c:pt idx="15">
                  <c:v>  Create Extension Schema</c:v>
                </c:pt>
                <c:pt idx="16">
                  <c:v>  Create Exchange Schema</c:v>
                </c:pt>
                <c:pt idx="17">
                  <c:v>  Build Constraint Schema</c:v>
                </c:pt>
                <c:pt idx="18">
                  <c:v>  Validate Schema</c:v>
                </c:pt>
                <c:pt idx="19">
                  <c:v>Building &amp; Validating Total</c:v>
                </c:pt>
                <c:pt idx="21">
                  <c:v>Assemble &amp; Document</c:v>
                </c:pt>
                <c:pt idx="22">
                  <c:v>  Develop NIEM Meta-Data Schema</c:v>
                </c:pt>
                <c:pt idx="23">
                  <c:v>  Assemble Required IEPD Artifacts</c:v>
                </c:pt>
                <c:pt idx="24">
                  <c:v>Assemble &amp; Document Total</c:v>
                </c:pt>
                <c:pt idx="26">
                  <c:v>Publish IEPD</c:v>
                </c:pt>
                <c:pt idx="27">
                  <c:v>  Publish IEPD to Repository</c:v>
                </c:pt>
                <c:pt idx="28">
                  <c:v>Total Publish IEPD</c:v>
                </c:pt>
                <c:pt idx="30">
                  <c:v>Data Exchange Design Implementation</c:v>
                </c:pt>
                <c:pt idx="31">
                  <c:v>Design NIEM Instance Creation Rules (Sender)</c:v>
                </c:pt>
                <c:pt idx="32">
                  <c:v>Design NIEM Instance Processing Rules (Receiver)</c:v>
                </c:pt>
                <c:pt idx="33">
                  <c:v>Design NIEM Instance middleware routing rules based on data exchange</c:v>
                </c:pt>
                <c:pt idx="34">
                  <c:v>Document Business Use Cases for data exchange</c:v>
                </c:pt>
                <c:pt idx="35">
                  <c:v>Document Business Test Cases for data exchange</c:v>
                </c:pt>
                <c:pt idx="36">
                  <c:v>MOU's for Data Exchange and Network Services</c:v>
                </c:pt>
                <c:pt idx="37">
                  <c:v>Data Exchange Design Implementation Total</c:v>
                </c:pt>
                <c:pt idx="39">
                  <c:v>Data Exchange Development and Implementation</c:v>
                </c:pt>
                <c:pt idx="40">
                  <c:v>Develop NIEM Instance and Implement Creation Rules</c:v>
                </c:pt>
                <c:pt idx="41">
                  <c:v>Develop NIEM Instance receiver and related system processing rules</c:v>
                </c:pt>
                <c:pt idx="42">
                  <c:v>Develop middleware data exchange business process and routing rules based on the business case</c:v>
                </c:pt>
                <c:pt idx="43">
                  <c:v>Data Exchange Development and Implementation Total</c:v>
                </c:pt>
                <c:pt idx="45">
                  <c:v>Data Exchange Testing</c:v>
                </c:pt>
                <c:pt idx="46">
                  <c:v>Unit Test - sending NIEM Instance and business triggering events</c:v>
                </c:pt>
                <c:pt idx="47">
                  <c:v>Unit Test - receiving NIEM Instance and related display in receiving system</c:v>
                </c:pt>
                <c:pt idx="48">
                  <c:v>Unit Test - middleware for NIEM data exchange instance routing rules based on the business case</c:v>
                </c:pt>
                <c:pt idx="49">
                  <c:v>Integration Test - send NIEM Instance based on testing scenarios</c:v>
                </c:pt>
                <c:pt idx="50">
                  <c:v>Integration Test - receiving NIEM Instance based on testing scenarios</c:v>
                </c:pt>
                <c:pt idx="51">
                  <c:v>Integration Test - routing and business transformation rules for the NIEM instance</c:v>
                </c:pt>
                <c:pt idx="52">
                  <c:v>Data Exchange Testing Total</c:v>
                </c:pt>
                <c:pt idx="54">
                  <c:v>Data Exchange Deployment</c:v>
                </c:pt>
                <c:pt idx="55">
                  <c:v>Deploy NIEM Instance Sending Software</c:v>
                </c:pt>
                <c:pt idx="56">
                  <c:v>Deploy NIEM Instance Receiving Software</c:v>
                </c:pt>
                <c:pt idx="57">
                  <c:v>Deploy NIEM Instance routing and business rule logic</c:v>
                </c:pt>
                <c:pt idx="58">
                  <c:v>Data Exchange Deployment Total</c:v>
                </c:pt>
                <c:pt idx="60">
                  <c:v>Additional Costs</c:v>
                </c:pt>
                <c:pt idx="61">
                  <c:v>Hardware</c:v>
                </c:pt>
                <c:pt idx="62">
                  <c:v>Software</c:v>
                </c:pt>
                <c:pt idx="63">
                  <c:v>Training (Onetime Cost)</c:v>
                </c:pt>
                <c:pt idx="64">
                  <c:v>Additional Costs Total</c:v>
                </c:pt>
                <c:pt idx="66">
                  <c:v>Discount Factors </c:v>
                </c:pt>
                <c:pt idx="67">
                  <c:v>There is an Existing IEPD </c:v>
                </c:pt>
                <c:pt idx="68">
                  <c:v>Adjustment Because All Elements Already Exist in NIEM</c:v>
                </c:pt>
                <c:pt idx="69">
                  <c:v>Adjustment of cost benefit from becoming a part of the NIEM Community</c:v>
                </c:pt>
                <c:pt idx="70">
                  <c:v>Discount Factors  Total</c:v>
                </c:pt>
                <c:pt idx="72">
                  <c:v>Total Expenses</c:v>
                </c:pt>
              </c:strCache>
            </c:strRef>
          </c:cat>
          <c:val>
            <c:numRef>
              <c:f>'5.0 Analysis Over Time'!#REF!</c:f>
              <c:numCache>
                <c:formatCode>General</c:formatCode>
                <c:ptCount val="1"/>
                <c:pt idx="0">
                  <c:v>1</c:v>
                </c:pt>
              </c:numCache>
            </c:numRef>
          </c:val>
        </c:ser>
        <c:dLbls>
          <c:showLegendKey val="0"/>
          <c:showVal val="0"/>
          <c:showCatName val="0"/>
          <c:showSerName val="0"/>
          <c:showPercent val="0"/>
          <c:showBubbleSize val="0"/>
        </c:dLbls>
        <c:gapWidth val="150"/>
        <c:shape val="box"/>
        <c:axId val="169651584"/>
        <c:axId val="171496576"/>
        <c:axId val="0"/>
      </c:bar3DChart>
      <c:catAx>
        <c:axId val="169651584"/>
        <c:scaling>
          <c:orientation val="minMax"/>
        </c:scaling>
        <c:delete val="0"/>
        <c:axPos val="b"/>
        <c:majorTickMark val="out"/>
        <c:minorTickMark val="none"/>
        <c:tickLblPos val="nextTo"/>
        <c:crossAx val="171496576"/>
        <c:crosses val="autoZero"/>
        <c:auto val="1"/>
        <c:lblAlgn val="ctr"/>
        <c:lblOffset val="100"/>
        <c:noMultiLvlLbl val="0"/>
      </c:catAx>
      <c:valAx>
        <c:axId val="171496576"/>
        <c:scaling>
          <c:orientation val="minMax"/>
        </c:scaling>
        <c:delete val="0"/>
        <c:axPos val="l"/>
        <c:majorGridlines/>
        <c:numFmt formatCode="_(&quot;$&quot;* #,##0_);_(&quot;$&quot;* \(#,##0\);_(&quot;$&quot;* &quot;-&quot;_);_(@_)" sourceLinked="1"/>
        <c:majorTickMark val="out"/>
        <c:minorTickMark val="none"/>
        <c:tickLblPos val="nextTo"/>
        <c:crossAx val="169651584"/>
        <c:crosses val="autoZero"/>
        <c:crossBetween val="between"/>
      </c:valAx>
    </c:plotArea>
    <c:legend>
      <c:legendPos val="r"/>
      <c:overlay val="0"/>
    </c:legend>
    <c:plotVisOnly val="1"/>
    <c:dispBlanksAs val="zero"/>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'5.0 Analysis Over Time'!#REF!</c:f>
              <c:strCache>
                <c:ptCount val="1"/>
                <c:pt idx="0">
                  <c:v>#REF!</c:v>
                </c:pt>
              </c:strCache>
            </c:strRef>
          </c:tx>
          <c:marker>
            <c:symbol val="none"/>
          </c:marker>
          <c:cat>
            <c:multiLvlStrRef>
              <c:f>'5.0 Analysis Over Time'!#REF!</c:f>
            </c:multiLvlStrRef>
          </c:cat>
          <c:val>
            <c:numRef>
              <c:f>'5.0 Analysis Over Time'!#REF!</c:f>
              <c:numCache>
                <c:formatCode>General</c:formatCode>
                <c:ptCount val="1"/>
                <c:pt idx="0">
                  <c:v>1</c:v>
                </c:pt>
              </c:numCache>
            </c:numRef>
          </c:val>
          <c:smooth val="0"/>
        </c:ser>
        <c:ser>
          <c:idx val="1"/>
          <c:order val="1"/>
          <c:tx>
            <c:strRef>
              <c:f>'5.0 Analysis Over Time'!#REF!</c:f>
              <c:strCache>
                <c:ptCount val="1"/>
                <c:pt idx="0">
                  <c:v>#REF!</c:v>
                </c:pt>
              </c:strCache>
            </c:strRef>
          </c:tx>
          <c:marker>
            <c:symbol val="none"/>
          </c:marker>
          <c:cat>
            <c:multiLvlStrRef>
              <c:f>'5.0 Analysis Over Time'!#REF!</c:f>
            </c:multiLvlStrRef>
          </c:cat>
          <c:val>
            <c:numRef>
              <c:f>'5.0 Analysis Over Time'!#REF!</c:f>
              <c:numCache>
                <c:formatCode>General</c:formatCode>
                <c:ptCount val="1"/>
                <c:pt idx="0">
                  <c:v>1</c:v>
                </c:pt>
              </c:numCache>
            </c:numRef>
          </c:val>
          <c:smooth val="0"/>
        </c:ser>
        <c:dLbls>
          <c:showLegendKey val="0"/>
          <c:showVal val="0"/>
          <c:showCatName val="0"/>
          <c:showSerName val="0"/>
          <c:showPercent val="0"/>
          <c:showBubbleSize val="0"/>
        </c:dLbls>
        <c:marker val="1"/>
        <c:smooth val="0"/>
        <c:axId val="169571840"/>
        <c:axId val="169573376"/>
      </c:lineChart>
      <c:catAx>
        <c:axId val="169571840"/>
        <c:scaling>
          <c:orientation val="minMax"/>
        </c:scaling>
        <c:delete val="0"/>
        <c:axPos val="b"/>
        <c:numFmt formatCode="General" sourceLinked="1"/>
        <c:majorTickMark val="out"/>
        <c:minorTickMark val="none"/>
        <c:tickLblPos val="nextTo"/>
        <c:crossAx val="169573376"/>
        <c:crosses val="autoZero"/>
        <c:auto val="1"/>
        <c:lblAlgn val="ctr"/>
        <c:lblOffset val="100"/>
        <c:noMultiLvlLbl val="0"/>
      </c:catAx>
      <c:valAx>
        <c:axId val="169573376"/>
        <c:scaling>
          <c:orientation val="minMax"/>
        </c:scaling>
        <c:delete val="0"/>
        <c:axPos val="l"/>
        <c:majorGridlines/>
        <c:numFmt formatCode="General" sourceLinked="1"/>
        <c:majorTickMark val="out"/>
        <c:minorTickMark val="none"/>
        <c:tickLblPos val="nextTo"/>
        <c:crossAx val="169571840"/>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8</xdr:row>
      <xdr:rowOff>28575</xdr:rowOff>
    </xdr:from>
    <xdr:to>
      <xdr:col>1</xdr:col>
      <xdr:colOff>3848100</xdr:colOff>
      <xdr:row>13</xdr:row>
      <xdr:rowOff>118436</xdr:rowOff>
    </xdr:to>
    <xdr:pic>
      <xdr:nvPicPr>
        <xdr:cNvPr id="4" name="Picture 3"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3048000"/>
          <a:ext cx="3848100" cy="89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3</xdr:col>
      <xdr:colOff>1775712</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3</xdr:col>
      <xdr:colOff>1775712</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4</xdr:row>
      <xdr:rowOff>28575</xdr:rowOff>
    </xdr:from>
    <xdr:to>
      <xdr:col>4</xdr:col>
      <xdr:colOff>1866900</xdr:colOff>
      <xdr:row>30</xdr:row>
      <xdr:rowOff>85725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238124</xdr:colOff>
      <xdr:row>34</xdr:row>
      <xdr:rowOff>42861</xdr:rowOff>
    </xdr:from>
    <xdr:to>
      <xdr:col>4</xdr:col>
      <xdr:colOff>1857374</xdr:colOff>
      <xdr:row>57</xdr:row>
      <xdr:rowOff>66675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2</xdr:col>
      <xdr:colOff>1697271</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44824</xdr:colOff>
      <xdr:row>0</xdr:row>
      <xdr:rowOff>44822</xdr:rowOff>
    </xdr:from>
    <xdr:to>
      <xdr:col>3</xdr:col>
      <xdr:colOff>487036</xdr:colOff>
      <xdr:row>0</xdr:row>
      <xdr:rowOff>627529</xdr:rowOff>
    </xdr:to>
    <xdr:pic>
      <xdr:nvPicPr>
        <xdr:cNvPr id="2" name="Picture 1"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4822"/>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35720</xdr:colOff>
      <xdr:row>0</xdr:row>
      <xdr:rowOff>47625</xdr:rowOff>
    </xdr:from>
    <xdr:to>
      <xdr:col>4</xdr:col>
      <xdr:colOff>206889</xdr:colOff>
      <xdr:row>0</xdr:row>
      <xdr:rowOff>630332</xdr:rowOff>
    </xdr:to>
    <xdr:pic>
      <xdr:nvPicPr>
        <xdr:cNvPr id="11" name="Picture 10"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20" y="47625"/>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2523704</xdr:colOff>
      <xdr:row>0</xdr:row>
      <xdr:rowOff>630332</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2495129"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44824</xdr:colOff>
      <xdr:row>0</xdr:row>
      <xdr:rowOff>44824</xdr:rowOff>
    </xdr:from>
    <xdr:to>
      <xdr:col>2</xdr:col>
      <xdr:colOff>38800</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158483</xdr:colOff>
      <xdr:row>0</xdr:row>
      <xdr:rowOff>0</xdr:rowOff>
    </xdr:from>
    <xdr:to>
      <xdr:col>3</xdr:col>
      <xdr:colOff>399629</xdr:colOff>
      <xdr:row>0</xdr:row>
      <xdr:rowOff>582707</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662" y="0"/>
          <a:ext cx="2508096"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1330838</xdr:colOff>
      <xdr:row>0</xdr:row>
      <xdr:rowOff>620807</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33618</xdr:colOff>
      <xdr:row>0</xdr:row>
      <xdr:rowOff>44824</xdr:rowOff>
    </xdr:from>
    <xdr:to>
      <xdr:col>3</xdr:col>
      <xdr:colOff>1786918</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8"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11206</xdr:colOff>
      <xdr:row>0</xdr:row>
      <xdr:rowOff>44824</xdr:rowOff>
    </xdr:from>
    <xdr:to>
      <xdr:col>3</xdr:col>
      <xdr:colOff>1764506</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B6"/>
  <sheetViews>
    <sheetView tabSelected="1" topLeftCell="B1" workbookViewId="0">
      <selection activeCell="B3" sqref="B3"/>
    </sheetView>
  </sheetViews>
  <sheetFormatPr defaultColWidth="9.140625" defaultRowHeight="12.75" x14ac:dyDescent="0.2"/>
  <cols>
    <col min="1" max="1" width="3.85546875" style="71" customWidth="1"/>
    <col min="2" max="2" width="175.7109375" style="71" bestFit="1" customWidth="1"/>
    <col min="3" max="16384" width="9.140625" style="71"/>
  </cols>
  <sheetData>
    <row r="2" spans="1:2" s="111" customFormat="1" ht="60.75" thickBot="1" x14ac:dyDescent="0.85">
      <c r="A2" s="109"/>
      <c r="B2" s="110" t="s">
        <v>279</v>
      </c>
    </row>
    <row r="3" spans="1:2" ht="44.25" x14ac:dyDescent="0.55000000000000004">
      <c r="B3" s="112" t="s">
        <v>358</v>
      </c>
    </row>
    <row r="4" spans="1:2" ht="34.5" x14ac:dyDescent="0.45">
      <c r="B4" s="113"/>
    </row>
    <row r="5" spans="1:2" ht="34.5" x14ac:dyDescent="0.45">
      <c r="B5" s="113"/>
    </row>
    <row r="6" spans="1:2" ht="25.5" x14ac:dyDescent="0.35">
      <c r="B6" s="114">
        <f ca="1">TODAY()</f>
        <v>42178</v>
      </c>
    </row>
  </sheetData>
  <pageMargins left="0.75" right="0.75" top="1" bottom="1" header="0.5" footer="0.5"/>
  <pageSetup paperSize="5"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rgb="FFFFCC00"/>
    <pageSetUpPr fitToPage="1"/>
  </sheetPr>
  <dimension ref="A1:I91"/>
  <sheetViews>
    <sheetView showGridLines="0" zoomScale="85" zoomScaleNormal="85" zoomScalePageLayoutView="85" workbookViewId="0">
      <pane ySplit="8" topLeftCell="A63" activePane="bottomLeft" state="frozen"/>
      <selection pane="bottomLeft" activeCell="A2" sqref="A2:H91"/>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7" width="20" style="54" customWidth="1"/>
    <col min="8" max="8" width="24.7109375" style="54" customWidth="1"/>
    <col min="9" max="16384" width="8.85546875" style="54"/>
  </cols>
  <sheetData>
    <row r="1" spans="1:9" s="395" customFormat="1" ht="51.75" customHeight="1" x14ac:dyDescent="0.5"/>
    <row r="2" spans="1:9" s="118" customFormat="1" ht="16.5" customHeight="1" x14ac:dyDescent="0.5">
      <c r="A2" s="121" t="s">
        <v>358</v>
      </c>
      <c r="B2" s="120"/>
    </row>
    <row r="3" spans="1:9" s="119" customFormat="1" ht="19.5" customHeight="1" x14ac:dyDescent="0.5">
      <c r="A3" s="122" t="s">
        <v>299</v>
      </c>
    </row>
    <row r="4" spans="1:9" s="296" customFormat="1" ht="9" customHeight="1" x14ac:dyDescent="0.35"/>
    <row r="5" spans="1:9" s="297" customFormat="1" ht="12" customHeight="1" x14ac:dyDescent="0.2">
      <c r="A5" s="411" t="s">
        <v>194</v>
      </c>
      <c r="B5" s="411"/>
      <c r="C5" s="411"/>
      <c r="D5" s="411"/>
    </row>
    <row r="6" spans="1:9" s="297" customFormat="1" ht="10.5" customHeight="1" thickBot="1" x14ac:dyDescent="0.25">
      <c r="A6" s="318"/>
      <c r="B6" s="318"/>
      <c r="C6" s="318"/>
      <c r="D6" s="318"/>
    </row>
    <row r="7" spans="1:9" ht="13.5" customHeight="1" x14ac:dyDescent="0.2">
      <c r="A7" s="454"/>
      <c r="B7" s="454"/>
      <c r="C7" s="454"/>
      <c r="D7" s="74"/>
      <c r="E7" s="455" t="s">
        <v>112</v>
      </c>
      <c r="F7" s="456"/>
      <c r="G7" s="456"/>
      <c r="H7" s="457"/>
      <c r="I7" s="314"/>
    </row>
    <row r="8" spans="1:9" ht="39" thickBot="1" x14ac:dyDescent="0.25">
      <c r="E8" s="319" t="s">
        <v>268</v>
      </c>
      <c r="F8" s="247" t="s">
        <v>114</v>
      </c>
      <c r="G8" s="247" t="s">
        <v>115</v>
      </c>
      <c r="H8" s="306" t="str">
        <f>"Total Cost to build " &amp; NewIEPDs2 &amp; " NIEM exchanges and reuse " &amp; NewConsumers2 &amp; " NIEM exchanges"</f>
        <v>Total Cost to build 0 NIEM exchanges and reuse 4 NIEM exchanges</v>
      </c>
    </row>
    <row r="9" spans="1:9" x14ac:dyDescent="0.2">
      <c r="B9" s="46" t="s">
        <v>301</v>
      </c>
      <c r="C9" s="47"/>
      <c r="D9" s="48"/>
      <c r="E9" s="248"/>
      <c r="F9" s="248"/>
      <c r="G9" s="248"/>
      <c r="H9" s="49"/>
    </row>
    <row r="10" spans="1:9" ht="15.75" customHeight="1" x14ac:dyDescent="0.2">
      <c r="B10" s="233">
        <v>1</v>
      </c>
      <c r="C10" s="234" t="s">
        <v>12</v>
      </c>
      <c r="D10" s="235"/>
      <c r="E10" s="254"/>
      <c r="F10" s="249"/>
      <c r="G10" s="260"/>
      <c r="H10" s="51"/>
    </row>
    <row r="11" spans="1:9" x14ac:dyDescent="0.2">
      <c r="B11" s="52"/>
      <c r="C11" s="53">
        <v>1.1000000000000001</v>
      </c>
      <c r="D11" s="54" t="s">
        <v>68</v>
      </c>
      <c r="E11" s="300">
        <f>'5.2 YR1'!E11</f>
        <v>23414.800000000003</v>
      </c>
      <c r="F11" s="250">
        <f>VALUE(IF(NewConsumers2&gt;0,E11*'4.0 Activities'!O11,))</f>
        <v>11707.400000000001</v>
      </c>
      <c r="G11" s="250">
        <f>VALUE(IF(NewIEPDs2&gt;0,E11*'4.0 Activities'!P11,0))</f>
        <v>0</v>
      </c>
      <c r="H11" s="199">
        <f>F11*NewConsumers2+G11*NewIEPDs2</f>
        <v>46829.600000000006</v>
      </c>
    </row>
    <row r="12" spans="1:9" x14ac:dyDescent="0.2">
      <c r="B12" s="52"/>
      <c r="C12" s="53">
        <v>1.2</v>
      </c>
      <c r="D12" s="54" t="s">
        <v>71</v>
      </c>
      <c r="E12" s="300">
        <f>'5.2 YR1'!E12</f>
        <v>55053.600000000006</v>
      </c>
      <c r="F12" s="250">
        <f>VALUE(IF(NewConsumers2&gt;0,E12*'4.0 Activities'!O12,))</f>
        <v>13763.400000000001</v>
      </c>
      <c r="G12" s="250">
        <f>VALUE(IF(NewIEPDs2&gt;0,E12*'4.0 Activities'!P12,0))</f>
        <v>0</v>
      </c>
      <c r="H12" s="199">
        <f>F12*NewConsumers2+G12*NewIEPDs2</f>
        <v>55053.600000000006</v>
      </c>
    </row>
    <row r="13" spans="1:9" x14ac:dyDescent="0.2">
      <c r="B13" s="52"/>
      <c r="C13" s="55">
        <v>1.3</v>
      </c>
      <c r="D13" s="56" t="s">
        <v>73</v>
      </c>
      <c r="E13" s="301">
        <f>'5.2 YR1'!E13</f>
        <v>27725.200000000001</v>
      </c>
      <c r="F13" s="251">
        <f>VALUE(IF(NewConsumers2&gt;0,E13*'4.0 Activities'!O13,))</f>
        <v>0</v>
      </c>
      <c r="G13" s="251">
        <f>VALUE(IF(NewIEPDs2&gt;0,E13*'4.0 Activities'!P13,0))</f>
        <v>0</v>
      </c>
      <c r="H13" s="200">
        <f>F13*NewConsumers2+G13*NewIEPDs2</f>
        <v>0</v>
      </c>
    </row>
    <row r="14" spans="1:9" ht="13.5" thickBot="1" x14ac:dyDescent="0.25">
      <c r="B14" s="52"/>
      <c r="C14" s="236"/>
      <c r="D14" s="237" t="s">
        <v>257</v>
      </c>
      <c r="E14" s="302">
        <f>SUM(E11:E13)</f>
        <v>106193.60000000001</v>
      </c>
      <c r="F14" s="252">
        <f>SUM(F11:F13)</f>
        <v>25470.800000000003</v>
      </c>
      <c r="G14" s="252">
        <f>SUM(G11:G13)</f>
        <v>0</v>
      </c>
      <c r="H14" s="238">
        <f>SUM(H11:H13)</f>
        <v>101883.20000000001</v>
      </c>
    </row>
    <row r="15" spans="1:9" x14ac:dyDescent="0.2">
      <c r="B15" s="52"/>
      <c r="C15" s="53"/>
      <c r="D15" s="203"/>
      <c r="E15" s="253"/>
      <c r="F15" s="253"/>
      <c r="G15" s="253"/>
      <c r="H15" s="204"/>
    </row>
    <row r="16" spans="1:9" x14ac:dyDescent="0.2">
      <c r="B16" s="233">
        <v>2</v>
      </c>
      <c r="C16" s="234" t="s">
        <v>13</v>
      </c>
      <c r="D16" s="50"/>
      <c r="E16" s="254"/>
      <c r="F16" s="254"/>
      <c r="G16" s="254"/>
      <c r="H16" s="51"/>
    </row>
    <row r="17" spans="2:8" x14ac:dyDescent="0.2">
      <c r="B17" s="52"/>
      <c r="C17" s="53">
        <v>2.1</v>
      </c>
      <c r="D17" s="54" t="s">
        <v>74</v>
      </c>
      <c r="E17" s="300">
        <f>'5.2 YR1'!E17</f>
        <v>56365.2</v>
      </c>
      <c r="F17" s="250">
        <f>VALUE(IF(NewConsumers2&gt;0,E17*'4.0 Activities'!O15,))</f>
        <v>0</v>
      </c>
      <c r="G17" s="250">
        <f>VALUE(IF(NewIEPDs2&gt;0,E17*'4.0 Activities'!P15,0))</f>
        <v>0</v>
      </c>
      <c r="H17" s="199">
        <f>F17*NewConsumers2+G17*NewIEPDs2</f>
        <v>0</v>
      </c>
    </row>
    <row r="18" spans="2:8" x14ac:dyDescent="0.2">
      <c r="B18" s="52"/>
      <c r="C18" s="55">
        <v>2.2000000000000002</v>
      </c>
      <c r="D18" s="56" t="s">
        <v>75</v>
      </c>
      <c r="E18" s="301">
        <f>'5.2 YR1'!E18</f>
        <v>28104.800000000003</v>
      </c>
      <c r="F18" s="251">
        <f>VALUE(IF(NewConsumers2&gt;0,E18*'4.0 Activities'!O16,))</f>
        <v>0</v>
      </c>
      <c r="G18" s="251">
        <f>VALUE(IF(NewIEPDs2&gt;0,E18*'4.0 Activities'!P16,0))</f>
        <v>0</v>
      </c>
      <c r="H18" s="200">
        <f>F18*NewConsumers2+G18*NewIEPDs2</f>
        <v>0</v>
      </c>
    </row>
    <row r="19" spans="2:8" ht="13.5" thickBot="1" x14ac:dyDescent="0.25">
      <c r="B19" s="52"/>
      <c r="C19" s="241"/>
      <c r="D19" s="237" t="s">
        <v>257</v>
      </c>
      <c r="E19" s="303">
        <f>SUM(E17:E18)</f>
        <v>84470</v>
      </c>
      <c r="F19" s="255">
        <f>SUM(F17:F18)</f>
        <v>0</v>
      </c>
      <c r="G19" s="255">
        <f>SUM(G17:G18)</f>
        <v>0</v>
      </c>
      <c r="H19" s="242">
        <f>SUM(H17:H18)</f>
        <v>0</v>
      </c>
    </row>
    <row r="20" spans="2:8" x14ac:dyDescent="0.2">
      <c r="B20" s="52"/>
      <c r="C20" s="239"/>
      <c r="D20" s="203"/>
      <c r="E20" s="305"/>
      <c r="F20" s="305"/>
      <c r="G20" s="305"/>
      <c r="H20" s="240"/>
    </row>
    <row r="21" spans="2:8" x14ac:dyDescent="0.2">
      <c r="B21" s="233">
        <v>3</v>
      </c>
      <c r="C21" s="234" t="s">
        <v>77</v>
      </c>
      <c r="D21" s="50"/>
      <c r="E21" s="254"/>
      <c r="F21" s="254"/>
      <c r="G21" s="254"/>
      <c r="H21" s="51"/>
    </row>
    <row r="22" spans="2:8" x14ac:dyDescent="0.2">
      <c r="B22" s="57"/>
      <c r="C22" s="53">
        <v>3.1</v>
      </c>
      <c r="D22" s="54" t="s">
        <v>78</v>
      </c>
      <c r="E22" s="300">
        <f>'5.2 YR1'!E22</f>
        <v>24366.000000000004</v>
      </c>
      <c r="F22" s="250">
        <f>VALUE(IF(NewConsumers2&gt;0,E22*'4.0 Activities'!O18,))</f>
        <v>0</v>
      </c>
      <c r="G22" s="250">
        <f>VALUE(IF(NewIEPDs2&gt;0,E22*'4.0 Activities'!P18,0))</f>
        <v>0</v>
      </c>
      <c r="H22" s="199">
        <f>F22*NewConsumers2+G22*NewIEPDs2</f>
        <v>0</v>
      </c>
    </row>
    <row r="23" spans="2:8" x14ac:dyDescent="0.2">
      <c r="B23" s="57"/>
      <c r="C23" s="58" t="s">
        <v>79</v>
      </c>
      <c r="D23" s="56" t="s">
        <v>80</v>
      </c>
      <c r="E23" s="301">
        <f>'5.2 YR1'!E23</f>
        <v>25196.800000000003</v>
      </c>
      <c r="F23" s="251">
        <f>VALUE(IF(NewConsumers2&gt;0,E23*'4.0 Activities'!O19,))</f>
        <v>6299.2000000000007</v>
      </c>
      <c r="G23" s="251">
        <f>VALUE(IF(NewIEPDs2&gt;0,E23*'4.0 Activities'!P19,0))</f>
        <v>0</v>
      </c>
      <c r="H23" s="200">
        <f>F23*NewConsumers2+G23*NewIEPDs2</f>
        <v>25196.800000000003</v>
      </c>
    </row>
    <row r="24" spans="2:8" ht="13.5" thickBot="1" x14ac:dyDescent="0.25">
      <c r="B24" s="57"/>
      <c r="C24" s="244"/>
      <c r="D24" s="237" t="s">
        <v>257</v>
      </c>
      <c r="E24" s="302">
        <f>SUM(E22:E23)</f>
        <v>49562.8</v>
      </c>
      <c r="F24" s="252">
        <f>SUM(F22:F23)</f>
        <v>6299.2000000000007</v>
      </c>
      <c r="G24" s="252">
        <f>SUM(G22:G23)</f>
        <v>0</v>
      </c>
      <c r="H24" s="238">
        <f>SUM(H22:H23)</f>
        <v>25196.800000000003</v>
      </c>
    </row>
    <row r="25" spans="2:8" x14ac:dyDescent="0.2">
      <c r="B25" s="57"/>
      <c r="C25" s="243"/>
      <c r="D25" s="203"/>
      <c r="E25" s="253"/>
      <c r="F25" s="253"/>
      <c r="G25" s="253"/>
      <c r="H25" s="204"/>
    </row>
    <row r="26" spans="2:8" x14ac:dyDescent="0.2">
      <c r="B26" s="233">
        <v>4</v>
      </c>
      <c r="C26" s="234" t="s">
        <v>81</v>
      </c>
      <c r="D26" s="261"/>
      <c r="E26" s="254"/>
      <c r="F26" s="254"/>
      <c r="G26" s="254"/>
      <c r="H26" s="51"/>
    </row>
    <row r="27" spans="2:8" x14ac:dyDescent="0.2">
      <c r="B27" s="57"/>
      <c r="C27" s="53">
        <v>4.0999999999999996</v>
      </c>
      <c r="D27" s="54" t="s">
        <v>82</v>
      </c>
      <c r="E27" s="300">
        <f>'5.2 YR1'!E27</f>
        <v>7360.8</v>
      </c>
      <c r="F27" s="250">
        <f>VALUE(IF(NewConsumers2&gt;0,E27*'4.0 Activities'!O21,))</f>
        <v>1840.2</v>
      </c>
      <c r="G27" s="250">
        <f>VALUE(IF(NewIEPDs2&gt;0,E27*'4.0 Activities'!P21,0))</f>
        <v>0</v>
      </c>
      <c r="H27" s="199">
        <f t="shared" ref="H27:H32" si="0">F27*NewConsumers2+G27*NewIEPDs2</f>
        <v>7360.8</v>
      </c>
    </row>
    <row r="28" spans="2:8" x14ac:dyDescent="0.2">
      <c r="B28" s="57"/>
      <c r="C28" s="53" t="s">
        <v>83</v>
      </c>
      <c r="D28" s="54" t="s">
        <v>84</v>
      </c>
      <c r="E28" s="300">
        <f>'5.2 YR1'!E28</f>
        <v>2822.4</v>
      </c>
      <c r="F28" s="250">
        <f>VALUE(IF(NewConsumers2&gt;0,E28*'4.0 Activities'!O22,))</f>
        <v>705.6</v>
      </c>
      <c r="G28" s="250">
        <f>VALUE(IF(NewIEPDs2&gt;0,E28*'4.0 Activities'!P22,0))</f>
        <v>0</v>
      </c>
      <c r="H28" s="199">
        <f t="shared" si="0"/>
        <v>2822.4</v>
      </c>
    </row>
    <row r="29" spans="2:8" x14ac:dyDescent="0.2">
      <c r="B29" s="57"/>
      <c r="C29" s="53" t="s">
        <v>85</v>
      </c>
      <c r="D29" s="54" t="s">
        <v>116</v>
      </c>
      <c r="E29" s="300">
        <f>'5.2 YR1'!E29</f>
        <v>19508.400000000001</v>
      </c>
      <c r="F29" s="250">
        <f>VALUE(IF(NewConsumers2&gt;0,E29*'4.0 Activities'!O23,))</f>
        <v>4877.1000000000004</v>
      </c>
      <c r="G29" s="250">
        <f>VALUE(IF(NewIEPDs2&gt;0,E29*'4.0 Activities'!P23,0))</f>
        <v>0</v>
      </c>
      <c r="H29" s="199">
        <f t="shared" si="0"/>
        <v>19508.400000000001</v>
      </c>
    </row>
    <row r="30" spans="2:8" x14ac:dyDescent="0.2">
      <c r="B30" s="57"/>
      <c r="C30" s="53" t="s">
        <v>87</v>
      </c>
      <c r="D30" s="54" t="s">
        <v>88</v>
      </c>
      <c r="E30" s="300">
        <f>'5.2 YR1'!E30</f>
        <v>13005.6</v>
      </c>
      <c r="F30" s="250">
        <f>VALUE(IF(NewConsumers2&gt;0,E30*'4.0 Activities'!O24,))</f>
        <v>6502.8</v>
      </c>
      <c r="G30" s="250">
        <f>VALUE(IF(NewIEPDs2&gt;0,E30*'4.0 Activities'!P24,0))</f>
        <v>0</v>
      </c>
      <c r="H30" s="199">
        <f t="shared" si="0"/>
        <v>26011.200000000001</v>
      </c>
    </row>
    <row r="31" spans="2:8" x14ac:dyDescent="0.2">
      <c r="B31" s="57"/>
      <c r="C31" s="53">
        <v>4.3</v>
      </c>
      <c r="D31" s="54" t="s">
        <v>89</v>
      </c>
      <c r="E31" s="300">
        <f>'5.2 YR1'!E31</f>
        <v>17005.599999999999</v>
      </c>
      <c r="F31" s="250">
        <f>VALUE(IF(NewConsumers2&gt;0,E31*'4.0 Activities'!O25,))</f>
        <v>8502.7999999999993</v>
      </c>
      <c r="G31" s="250">
        <f>VALUE(IF(NewIEPDs2&gt;0,E31*'4.0 Activities'!P25,0))</f>
        <v>0</v>
      </c>
      <c r="H31" s="199">
        <f t="shared" si="0"/>
        <v>34011.199999999997</v>
      </c>
    </row>
    <row r="32" spans="2:8" x14ac:dyDescent="0.2">
      <c r="B32" s="57"/>
      <c r="C32" s="55">
        <v>4.4000000000000004</v>
      </c>
      <c r="D32" s="56" t="s">
        <v>90</v>
      </c>
      <c r="E32" s="301">
        <f>'5.2 YR1'!E32</f>
        <v>15361.28</v>
      </c>
      <c r="F32" s="251">
        <f>VALUE(IF(NewConsumers2&gt;0,E32*'4.0 Activities'!O26,))</f>
        <v>7680.64</v>
      </c>
      <c r="G32" s="251">
        <f>VALUE(IF(NewIEPDs2&gt;0,E32*'4.0 Activities'!P26,0))</f>
        <v>0</v>
      </c>
      <c r="H32" s="200">
        <f t="shared" si="0"/>
        <v>30722.560000000001</v>
      </c>
    </row>
    <row r="33" spans="2:8" ht="13.5" thickBot="1" x14ac:dyDescent="0.25">
      <c r="B33" s="57"/>
      <c r="C33" s="241"/>
      <c r="D33" s="237" t="s">
        <v>257</v>
      </c>
      <c r="E33" s="302">
        <f>SUM(E27:E32)</f>
        <v>75064.08</v>
      </c>
      <c r="F33" s="252">
        <f>SUM(F27:F32)</f>
        <v>30109.14</v>
      </c>
      <c r="G33" s="252">
        <f>SUM(G27:G32)</f>
        <v>0</v>
      </c>
      <c r="H33" s="238">
        <f>SUM(H27:H32)</f>
        <v>120436.56</v>
      </c>
    </row>
    <row r="34" spans="2:8" x14ac:dyDescent="0.2">
      <c r="B34" s="57"/>
      <c r="C34" s="239"/>
      <c r="D34" s="203"/>
      <c r="E34" s="253"/>
      <c r="F34" s="253"/>
      <c r="G34" s="253"/>
      <c r="H34" s="204"/>
    </row>
    <row r="35" spans="2:8" x14ac:dyDescent="0.2">
      <c r="B35" s="233">
        <v>5</v>
      </c>
      <c r="C35" s="234" t="s">
        <v>91</v>
      </c>
      <c r="D35" s="261"/>
      <c r="E35" s="254"/>
      <c r="F35" s="254"/>
      <c r="G35" s="254"/>
      <c r="H35" s="51"/>
    </row>
    <row r="36" spans="2:8" x14ac:dyDescent="0.2">
      <c r="B36" s="57"/>
      <c r="C36" s="53">
        <v>5.0999999999999996</v>
      </c>
      <c r="D36" s="54" t="s">
        <v>92</v>
      </c>
      <c r="E36" s="300">
        <f>'5.2 YR1'!E36</f>
        <v>17077.2</v>
      </c>
      <c r="F36" s="250">
        <f>VALUE(IF(NewConsumers2&gt;0,E36*'4.0 Activities'!O28,))</f>
        <v>4269.3</v>
      </c>
      <c r="G36" s="250">
        <f>VALUE(IF(NewIEPDs2&gt;0,E36*'4.0 Activities'!P28,0))</f>
        <v>0</v>
      </c>
      <c r="H36" s="199">
        <f>F36*NewConsumers2+G36*NewIEPDs2</f>
        <v>17077.2</v>
      </c>
    </row>
    <row r="37" spans="2:8" x14ac:dyDescent="0.2">
      <c r="B37" s="57"/>
      <c r="C37" s="55">
        <v>5.2</v>
      </c>
      <c r="D37" s="56" t="s">
        <v>93</v>
      </c>
      <c r="E37" s="301">
        <f>'5.2 YR1'!E37</f>
        <v>17630.800000000003</v>
      </c>
      <c r="F37" s="251">
        <f>VALUE(IF(NewConsumers2&gt;0,E37*'4.0 Activities'!O29,))</f>
        <v>4407.7000000000007</v>
      </c>
      <c r="G37" s="251">
        <f>VALUE(IF(NewIEPDs2&gt;0,E37*'4.0 Activities'!P29,0))</f>
        <v>0</v>
      </c>
      <c r="H37" s="200">
        <f>F37*NewConsumers2+G37*NewIEPDs2</f>
        <v>17630.800000000003</v>
      </c>
    </row>
    <row r="38" spans="2:8" ht="13.5" thickBot="1" x14ac:dyDescent="0.25">
      <c r="B38" s="57"/>
      <c r="C38" s="241"/>
      <c r="D38" s="237" t="s">
        <v>257</v>
      </c>
      <c r="E38" s="302">
        <f>SUM(E36:E37)</f>
        <v>34708</v>
      </c>
      <c r="F38" s="252">
        <f>SUM(F36:F37)</f>
        <v>8677</v>
      </c>
      <c r="G38" s="252">
        <f>SUM(G36:G37)</f>
        <v>0</v>
      </c>
      <c r="H38" s="238">
        <f>SUM(H36:H37)</f>
        <v>34708</v>
      </c>
    </row>
    <row r="39" spans="2:8" x14ac:dyDescent="0.2">
      <c r="B39" s="57"/>
      <c r="C39" s="239"/>
      <c r="D39" s="203"/>
      <c r="E39" s="253"/>
      <c r="F39" s="253"/>
      <c r="G39" s="253"/>
      <c r="H39" s="204"/>
    </row>
    <row r="40" spans="2:8" x14ac:dyDescent="0.2">
      <c r="B40" s="233">
        <v>6</v>
      </c>
      <c r="C40" s="234" t="s">
        <v>14</v>
      </c>
      <c r="D40" s="50"/>
      <c r="E40" s="254"/>
      <c r="F40" s="254"/>
      <c r="G40" s="254"/>
      <c r="H40" s="51"/>
    </row>
    <row r="41" spans="2:8" x14ac:dyDescent="0.2">
      <c r="B41" s="52"/>
      <c r="C41" s="55">
        <v>6.1</v>
      </c>
      <c r="D41" s="56" t="s">
        <v>94</v>
      </c>
      <c r="E41" s="301">
        <f>'5.2 YR1'!E41</f>
        <v>13673.6</v>
      </c>
      <c r="F41" s="251">
        <f>VALUE(IF(NewConsumers2&gt;0,E41*'4.0 Activities'!O31,))</f>
        <v>3418.4</v>
      </c>
      <c r="G41" s="251">
        <f>VALUE(IF(NewIEPDs2&gt;0,E41*'4.0 Activities'!P31,0))</f>
        <v>0</v>
      </c>
      <c r="H41" s="200">
        <f>F41*NewConsumers2+G41*NewIEPDs2</f>
        <v>13673.6</v>
      </c>
    </row>
    <row r="42" spans="2:8" ht="13.5" thickBot="1" x14ac:dyDescent="0.25">
      <c r="B42" s="52"/>
      <c r="C42" s="241"/>
      <c r="D42" s="237" t="s">
        <v>257</v>
      </c>
      <c r="E42" s="302">
        <f>SUM(E41)</f>
        <v>13673.6</v>
      </c>
      <c r="F42" s="252">
        <f>SUM(F41)</f>
        <v>3418.4</v>
      </c>
      <c r="G42" s="252">
        <f>SUM(G41)</f>
        <v>0</v>
      </c>
      <c r="H42" s="238">
        <f>SUM(H41)</f>
        <v>13673.6</v>
      </c>
    </row>
    <row r="43" spans="2:8" x14ac:dyDescent="0.2">
      <c r="B43" s="52"/>
      <c r="C43" s="239"/>
      <c r="D43" s="203"/>
      <c r="E43" s="253"/>
      <c r="F43" s="253"/>
      <c r="G43" s="253"/>
      <c r="H43" s="204"/>
    </row>
    <row r="44" spans="2:8" x14ac:dyDescent="0.2">
      <c r="B44" s="233">
        <v>7</v>
      </c>
      <c r="C44" s="234" t="s">
        <v>233</v>
      </c>
      <c r="D44" s="50"/>
      <c r="E44" s="257"/>
      <c r="F44" s="257"/>
      <c r="G44" s="257"/>
      <c r="H44" s="60"/>
    </row>
    <row r="45" spans="2:8" x14ac:dyDescent="0.2">
      <c r="B45" s="52"/>
      <c r="C45" s="53">
        <v>7.1</v>
      </c>
      <c r="D45" s="54" t="s">
        <v>186</v>
      </c>
      <c r="E45" s="300">
        <f>'5.2 YR1'!E45</f>
        <v>27239.600000000002</v>
      </c>
      <c r="F45" s="250">
        <f>VALUE(IF(NewConsumers2&gt;0,E45*'4.0 Activities'!O33,))</f>
        <v>0</v>
      </c>
      <c r="G45" s="250">
        <f>VALUE(IF(NewIEPDs2&gt;0,E45*'4.0 Activities'!P33,0))</f>
        <v>0</v>
      </c>
      <c r="H45" s="199">
        <f t="shared" ref="H45:H50" si="1">F45*NewConsumers2+G45*NewIEPDs2</f>
        <v>0</v>
      </c>
    </row>
    <row r="46" spans="2:8" x14ac:dyDescent="0.2">
      <c r="B46" s="52"/>
      <c r="C46" s="53">
        <v>7.2</v>
      </c>
      <c r="D46" s="54" t="s">
        <v>234</v>
      </c>
      <c r="E46" s="300">
        <f>'5.2 YR1'!E46</f>
        <v>23239.600000000002</v>
      </c>
      <c r="F46" s="250">
        <f>VALUE(IF(NewConsumers2&gt;0,E46*'4.0 Activities'!O34,))</f>
        <v>0</v>
      </c>
      <c r="G46" s="250">
        <f>VALUE(IF(NewIEPDs2&gt;0,E46*'4.0 Activities'!P34,0))</f>
        <v>0</v>
      </c>
      <c r="H46" s="199">
        <f t="shared" si="1"/>
        <v>0</v>
      </c>
    </row>
    <row r="47" spans="2:8" x14ac:dyDescent="0.2">
      <c r="B47" s="52"/>
      <c r="C47" s="53">
        <v>7.3</v>
      </c>
      <c r="D47" s="54" t="s">
        <v>187</v>
      </c>
      <c r="E47" s="300">
        <f>'5.2 YR1'!E47</f>
        <v>23239.600000000002</v>
      </c>
      <c r="F47" s="250">
        <f>VALUE(IF(NewConsumers2&gt;0,E47*'4.0 Activities'!O35,))</f>
        <v>5809.9000000000005</v>
      </c>
      <c r="G47" s="250">
        <f>VALUE(IF(NewIEPDs2&gt;0,E47*'4.0 Activities'!P35,0))</f>
        <v>0</v>
      </c>
      <c r="H47" s="199">
        <f t="shared" si="1"/>
        <v>23239.600000000002</v>
      </c>
    </row>
    <row r="48" spans="2:8" x14ac:dyDescent="0.2">
      <c r="B48" s="52"/>
      <c r="C48" s="53">
        <v>7.4</v>
      </c>
      <c r="D48" s="54" t="s">
        <v>161</v>
      </c>
      <c r="E48" s="300">
        <f>'5.2 YR1'!E48</f>
        <v>9644.7999999999993</v>
      </c>
      <c r="F48" s="250">
        <f>VALUE(IF(NewConsumers2&gt;0,E48*'4.0 Activities'!O36,))</f>
        <v>0</v>
      </c>
      <c r="G48" s="250">
        <f>VALUE(IF(NewIEPDs2&gt;0,E48*'4.0 Activities'!P36,0))</f>
        <v>0</v>
      </c>
      <c r="H48" s="199">
        <f t="shared" si="1"/>
        <v>0</v>
      </c>
    </row>
    <row r="49" spans="2:8" x14ac:dyDescent="0.2">
      <c r="B49" s="52"/>
      <c r="C49" s="53">
        <v>7.5</v>
      </c>
      <c r="D49" s="54" t="s">
        <v>162</v>
      </c>
      <c r="E49" s="300">
        <f>'5.2 YR1'!E49</f>
        <v>13846.64</v>
      </c>
      <c r="F49" s="250">
        <f>VALUE(IF(NewConsumers2&gt;0,E49*'4.0 Activities'!O37,))</f>
        <v>0</v>
      </c>
      <c r="G49" s="250">
        <f>VALUE(IF(NewIEPDs2&gt;0,E49*'4.0 Activities'!P37,0))</f>
        <v>0</v>
      </c>
      <c r="H49" s="199">
        <f t="shared" si="1"/>
        <v>0</v>
      </c>
    </row>
    <row r="50" spans="2:8" x14ac:dyDescent="0.2">
      <c r="B50" s="52"/>
      <c r="C50" s="55">
        <v>7.6</v>
      </c>
      <c r="D50" s="56" t="s">
        <v>163</v>
      </c>
      <c r="E50" s="301">
        <f>'5.2 YR1'!E50</f>
        <v>26495.600000000002</v>
      </c>
      <c r="F50" s="251">
        <f>VALUE(IF(NewConsumers2&gt;0,E50*'4.0 Activities'!O38,))</f>
        <v>13247.800000000001</v>
      </c>
      <c r="G50" s="251">
        <f>VALUE(IF(NewIEPDs2&gt;0,E50*'4.0 Activities'!P38,0))</f>
        <v>0</v>
      </c>
      <c r="H50" s="200">
        <f t="shared" si="1"/>
        <v>52991.200000000004</v>
      </c>
    </row>
    <row r="51" spans="2:8" ht="13.5" thickBot="1" x14ac:dyDescent="0.25">
      <c r="B51" s="52"/>
      <c r="C51" s="241"/>
      <c r="D51" s="237" t="s">
        <v>257</v>
      </c>
      <c r="E51" s="302">
        <f>SUM(E45:E50)</f>
        <v>123705.84000000001</v>
      </c>
      <c r="F51" s="252">
        <f>SUM(F45:F50)</f>
        <v>19057.7</v>
      </c>
      <c r="G51" s="252">
        <f>SUM(G45:G50)</f>
        <v>0</v>
      </c>
      <c r="H51" s="307">
        <f>SUM(H45:H50)</f>
        <v>76230.8</v>
      </c>
    </row>
    <row r="52" spans="2:8" x14ac:dyDescent="0.2">
      <c r="B52" s="52"/>
      <c r="C52" s="239"/>
      <c r="D52" s="203"/>
      <c r="E52" s="253"/>
      <c r="F52" s="253"/>
      <c r="G52" s="253"/>
      <c r="H52" s="308"/>
    </row>
    <row r="53" spans="2:8" x14ac:dyDescent="0.2">
      <c r="B53" s="233">
        <v>8</v>
      </c>
      <c r="C53" s="234" t="s">
        <v>235</v>
      </c>
      <c r="D53" s="50"/>
      <c r="E53" s="257"/>
      <c r="F53" s="257"/>
      <c r="G53" s="257"/>
      <c r="H53" s="60"/>
    </row>
    <row r="54" spans="2:8" x14ac:dyDescent="0.2">
      <c r="B54" s="52"/>
      <c r="C54" s="53">
        <v>8.1</v>
      </c>
      <c r="D54" s="54" t="s">
        <v>236</v>
      </c>
      <c r="E54" s="300">
        <f>'5.2 YR1'!E54</f>
        <v>26920.000000000004</v>
      </c>
      <c r="F54" s="250">
        <f>VALUE(IF(NewConsumers2&gt;0,E54*'4.0 Activities'!O40,))</f>
        <v>6730.0000000000009</v>
      </c>
      <c r="G54" s="250">
        <f>VALUE(IF(NewIEPDs2&gt;0,E54*'4.0 Activities'!P40,0))</f>
        <v>0</v>
      </c>
      <c r="H54" s="199">
        <f>F54*NewConsumers2+G54*NewIEPDs2</f>
        <v>26920.000000000004</v>
      </c>
    </row>
    <row r="55" spans="2:8" x14ac:dyDescent="0.2">
      <c r="B55" s="52"/>
      <c r="C55" s="53">
        <v>8.1999999999999993</v>
      </c>
      <c r="D55" s="54" t="s">
        <v>237</v>
      </c>
      <c r="E55" s="300">
        <f>'5.2 YR1'!E55</f>
        <v>26920.000000000004</v>
      </c>
      <c r="F55" s="250">
        <f>VALUE(IF(NewConsumers2&gt;0,E55*'4.0 Activities'!O41,))</f>
        <v>6730.0000000000009</v>
      </c>
      <c r="G55" s="250">
        <f>VALUE(IF(NewIEPDs2&gt;0,E55*'4.0 Activities'!P41,0))</f>
        <v>0</v>
      </c>
      <c r="H55" s="199">
        <f>F55*NewConsumers2+G55*NewIEPDs2</f>
        <v>26920.000000000004</v>
      </c>
    </row>
    <row r="56" spans="2:8" x14ac:dyDescent="0.2">
      <c r="B56" s="52"/>
      <c r="C56" s="55">
        <v>8.3000000000000007</v>
      </c>
      <c r="D56" s="56" t="s">
        <v>164</v>
      </c>
      <c r="E56" s="301">
        <f>'5.2 YR1'!E56</f>
        <v>22962.800000000003</v>
      </c>
      <c r="F56" s="251">
        <f>VALUE(IF(NewConsumers2&gt;0,E56*'4.0 Activities'!O42,))</f>
        <v>5740.7000000000007</v>
      </c>
      <c r="G56" s="251">
        <f>VALUE(IF(NewIEPDs2&gt;0,E56*'4.0 Activities'!P42,0))</f>
        <v>0</v>
      </c>
      <c r="H56" s="200">
        <f>F56*NewConsumers2+G56*NewIEPDs2</f>
        <v>22962.800000000003</v>
      </c>
    </row>
    <row r="57" spans="2:8" ht="13.5" thickBot="1" x14ac:dyDescent="0.25">
      <c r="B57" s="52"/>
      <c r="C57" s="241"/>
      <c r="D57" s="237" t="s">
        <v>257</v>
      </c>
      <c r="E57" s="302">
        <f>SUM(E54:E56)</f>
        <v>76802.800000000017</v>
      </c>
      <c r="F57" s="252">
        <f>SUM(F54:F56)</f>
        <v>19200.700000000004</v>
      </c>
      <c r="G57" s="252">
        <f>SUM(G54:G56)</f>
        <v>0</v>
      </c>
      <c r="H57" s="307">
        <f>SUM(H54:H56)</f>
        <v>76802.800000000017</v>
      </c>
    </row>
    <row r="58" spans="2:8" x14ac:dyDescent="0.2">
      <c r="B58" s="52"/>
      <c r="C58" s="239"/>
      <c r="D58" s="203"/>
      <c r="E58" s="253"/>
      <c r="F58" s="253"/>
      <c r="G58" s="253"/>
      <c r="H58" s="308"/>
    </row>
    <row r="59" spans="2:8" x14ac:dyDescent="0.2">
      <c r="B59" s="233">
        <v>9</v>
      </c>
      <c r="C59" s="234" t="s">
        <v>178</v>
      </c>
      <c r="D59" s="50"/>
      <c r="E59" s="257"/>
      <c r="F59" s="257"/>
      <c r="G59" s="257"/>
      <c r="H59" s="60"/>
    </row>
    <row r="60" spans="2:8" x14ac:dyDescent="0.2">
      <c r="B60" s="52"/>
      <c r="C60" s="53">
        <v>9.1</v>
      </c>
      <c r="D60" s="54" t="s">
        <v>183</v>
      </c>
      <c r="E60" s="300">
        <f>'5.2 YR1'!E60</f>
        <v>15171.36</v>
      </c>
      <c r="F60" s="250">
        <f>VALUE(IF(NewConsumers2&gt;0,E60*'4.0 Activities'!O44,))</f>
        <v>11378.52</v>
      </c>
      <c r="G60" s="250">
        <f>VALUE(IF(NewIEPDs2&gt;0,E60*'4.0 Activities'!P44,0))</f>
        <v>0</v>
      </c>
      <c r="H60" s="199">
        <f t="shared" ref="H60:H65" si="2">F60*NewConsumers2+G60*NewIEPDs2</f>
        <v>45514.080000000002</v>
      </c>
    </row>
    <row r="61" spans="2:8" x14ac:dyDescent="0.2">
      <c r="B61" s="52"/>
      <c r="C61" s="53">
        <v>9.1999999999999993</v>
      </c>
      <c r="D61" s="54" t="s">
        <v>238</v>
      </c>
      <c r="E61" s="300">
        <f>'5.2 YR1'!E61</f>
        <v>15171.36</v>
      </c>
      <c r="F61" s="250">
        <f>VALUE(IF(NewConsumers2&gt;0,E61*'4.0 Activities'!O45,))</f>
        <v>11378.52</v>
      </c>
      <c r="G61" s="250">
        <f>VALUE(IF(NewIEPDs2&gt;0,E61*'4.0 Activities'!P45,0))</f>
        <v>0</v>
      </c>
      <c r="H61" s="199">
        <f t="shared" si="2"/>
        <v>45514.080000000002</v>
      </c>
    </row>
    <row r="62" spans="2:8" x14ac:dyDescent="0.2">
      <c r="B62" s="52"/>
      <c r="C62" s="53">
        <v>9.3000000000000007</v>
      </c>
      <c r="D62" s="54" t="s">
        <v>184</v>
      </c>
      <c r="E62" s="300">
        <f>'5.2 YR1'!E62</f>
        <v>15171.36</v>
      </c>
      <c r="F62" s="250">
        <f>VALUE(IF(NewConsumers2&gt;0,E62*'4.0 Activities'!O46,))</f>
        <v>11378.52</v>
      </c>
      <c r="G62" s="250">
        <f>VALUE(IF(NewIEPDs2&gt;0,E62*'4.0 Activities'!P46,0))</f>
        <v>0</v>
      </c>
      <c r="H62" s="199">
        <f t="shared" si="2"/>
        <v>45514.080000000002</v>
      </c>
    </row>
    <row r="63" spans="2:8" x14ac:dyDescent="0.2">
      <c r="B63" s="52"/>
      <c r="C63" s="53">
        <v>9.4</v>
      </c>
      <c r="D63" s="54" t="s">
        <v>185</v>
      </c>
      <c r="E63" s="300">
        <f>'5.2 YR1'!E63</f>
        <v>15171.36</v>
      </c>
      <c r="F63" s="250">
        <f>VALUE(IF(NewConsumers2&gt;0,E63*'4.0 Activities'!O47,))</f>
        <v>7585.68</v>
      </c>
      <c r="G63" s="250">
        <f>VALUE(IF(NewIEPDs2&gt;0,E63*'4.0 Activities'!P47,0))</f>
        <v>0</v>
      </c>
      <c r="H63" s="199">
        <f t="shared" si="2"/>
        <v>30342.720000000001</v>
      </c>
    </row>
    <row r="64" spans="2:8" x14ac:dyDescent="0.2">
      <c r="B64" s="52"/>
      <c r="C64" s="53">
        <v>9.5</v>
      </c>
      <c r="D64" s="54" t="s">
        <v>239</v>
      </c>
      <c r="E64" s="300">
        <f>'5.2 YR1'!E64</f>
        <v>15171.36</v>
      </c>
      <c r="F64" s="250">
        <f>VALUE(IF(NewConsumers2&gt;0,E64*'4.0 Activities'!O48,))</f>
        <v>7585.68</v>
      </c>
      <c r="G64" s="250">
        <f>VALUE(IF(NewIEPDs2&gt;0,E64*'4.0 Activities'!P48,0))</f>
        <v>0</v>
      </c>
      <c r="H64" s="199">
        <f t="shared" si="2"/>
        <v>30342.720000000001</v>
      </c>
    </row>
    <row r="65" spans="2:8" x14ac:dyDescent="0.2">
      <c r="B65" s="52"/>
      <c r="C65" s="55">
        <v>9.6</v>
      </c>
      <c r="D65" s="56" t="s">
        <v>240</v>
      </c>
      <c r="E65" s="301">
        <f>'5.2 YR1'!E65</f>
        <v>19171.36</v>
      </c>
      <c r="F65" s="251">
        <f>VALUE(IF(NewConsumers2&gt;0,E65*'4.0 Activities'!O49,))</f>
        <v>9585.68</v>
      </c>
      <c r="G65" s="251">
        <f>VALUE(IF(NewIEPDs2&gt;0,E65*'4.0 Activities'!P49,0))</f>
        <v>0</v>
      </c>
      <c r="H65" s="200">
        <f t="shared" si="2"/>
        <v>38342.720000000001</v>
      </c>
    </row>
    <row r="66" spans="2:8" ht="13.5" thickBot="1" x14ac:dyDescent="0.25">
      <c r="B66" s="52"/>
      <c r="C66" s="241"/>
      <c r="D66" s="237" t="s">
        <v>257</v>
      </c>
      <c r="E66" s="302">
        <f>SUM(E60:E65)</f>
        <v>95028.160000000003</v>
      </c>
      <c r="F66" s="252">
        <f>SUM(F60:F65)</f>
        <v>58892.6</v>
      </c>
      <c r="G66" s="252">
        <f>SUM(G60:G65)</f>
        <v>0</v>
      </c>
      <c r="H66" s="307">
        <f>SUM(H60:H65)</f>
        <v>235570.4</v>
      </c>
    </row>
    <row r="67" spans="2:8" x14ac:dyDescent="0.2">
      <c r="B67" s="52"/>
      <c r="C67" s="239"/>
      <c r="D67" s="203"/>
      <c r="E67" s="253"/>
      <c r="F67" s="253"/>
      <c r="G67" s="253"/>
      <c r="H67" s="308"/>
    </row>
    <row r="68" spans="2:8" x14ac:dyDescent="0.2">
      <c r="B68" s="233">
        <v>10</v>
      </c>
      <c r="C68" s="234" t="s">
        <v>179</v>
      </c>
      <c r="D68" s="50"/>
      <c r="E68" s="257"/>
      <c r="F68" s="257"/>
      <c r="G68" s="257"/>
      <c r="H68" s="60"/>
    </row>
    <row r="69" spans="2:8" x14ac:dyDescent="0.2">
      <c r="B69" s="52"/>
      <c r="C69" s="53">
        <v>10.1</v>
      </c>
      <c r="D69" s="54" t="s">
        <v>180</v>
      </c>
      <c r="E69" s="300">
        <f>'5.2 YR1'!E69</f>
        <v>8522.4</v>
      </c>
      <c r="F69" s="250">
        <f>VALUE(IF(NewConsumers2&gt;0,E69*'4.0 Activities'!O51,))</f>
        <v>0</v>
      </c>
      <c r="G69" s="250">
        <f>VALUE(IF(NewIEPDs2&gt;0,E69*'4.0 Activities'!P51,0))</f>
        <v>0</v>
      </c>
      <c r="H69" s="199">
        <f>F69*NewConsumers2+G69*NewIEPDs2</f>
        <v>0</v>
      </c>
    </row>
    <row r="70" spans="2:8" x14ac:dyDescent="0.2">
      <c r="B70" s="52"/>
      <c r="C70" s="53">
        <v>10.199999999999999</v>
      </c>
      <c r="D70" s="54" t="s">
        <v>181</v>
      </c>
      <c r="E70" s="300">
        <f>'5.2 YR1'!E70</f>
        <v>8522.4</v>
      </c>
      <c r="F70" s="250">
        <f>VALUE(IF(NewConsumers2&gt;0,E70*'4.0 Activities'!O52,))</f>
        <v>0</v>
      </c>
      <c r="G70" s="250">
        <f>VALUE(IF(NewIEPDs2&gt;0,E70*'4.0 Activities'!P52,0))</f>
        <v>0</v>
      </c>
      <c r="H70" s="199">
        <f>F70*NewConsumers2+G70*NewIEPDs2</f>
        <v>0</v>
      </c>
    </row>
    <row r="71" spans="2:8" x14ac:dyDescent="0.2">
      <c r="B71" s="52"/>
      <c r="C71" s="55">
        <v>10.3</v>
      </c>
      <c r="D71" s="56" t="s">
        <v>182</v>
      </c>
      <c r="E71" s="301">
        <f>'5.2 YR1'!E71</f>
        <v>8522.4</v>
      </c>
      <c r="F71" s="251">
        <f>VALUE(IF(NewConsumers2&gt;0,E71*'4.0 Activities'!O53,))</f>
        <v>0</v>
      </c>
      <c r="G71" s="251">
        <f>VALUE(IF(NewIEPDs2&gt;0,E71*'4.0 Activities'!P53,0))</f>
        <v>0</v>
      </c>
      <c r="H71" s="200">
        <f>F71*NewConsumers2+G71*NewIEPDs2</f>
        <v>0</v>
      </c>
    </row>
    <row r="72" spans="2:8" ht="13.5" thickBot="1" x14ac:dyDescent="0.25">
      <c r="B72" s="52"/>
      <c r="C72" s="241"/>
      <c r="D72" s="237" t="s">
        <v>257</v>
      </c>
      <c r="E72" s="302">
        <f>SUM(E69:E71)</f>
        <v>25567.199999999997</v>
      </c>
      <c r="F72" s="252">
        <f>SUM(F69:F71)</f>
        <v>0</v>
      </c>
      <c r="G72" s="252">
        <f>SUM(G69:G71)</f>
        <v>0</v>
      </c>
      <c r="H72" s="238">
        <f>SUM(H69:H71)</f>
        <v>0</v>
      </c>
    </row>
    <row r="73" spans="2:8" x14ac:dyDescent="0.2">
      <c r="B73" s="52"/>
      <c r="C73" s="239"/>
      <c r="D73" s="203"/>
      <c r="E73" s="253"/>
      <c r="F73" s="253"/>
      <c r="G73" s="253"/>
      <c r="H73" s="204"/>
    </row>
    <row r="74" spans="2:8" ht="13.5" thickBot="1" x14ac:dyDescent="0.25">
      <c r="B74" s="274" t="s">
        <v>298</v>
      </c>
      <c r="C74" s="276"/>
      <c r="D74" s="275"/>
      <c r="E74" s="304">
        <f>SUM($E$14,$E$19,$E$24,$E$33,$E$38,$E$42,$E$51,$E$57,$E$66,$E$72)</f>
        <v>684776.08000000007</v>
      </c>
      <c r="F74" s="277">
        <f>SUM($F$14,$F$19,$F$24,$F$33,$F$38,$F$42,$F$51,$F$57,$F$66,$F$72)</f>
        <v>171125.54</v>
      </c>
      <c r="G74" s="277">
        <f>SUM($G$14,$G$19,$G$24,$G$33,$G$38,$G$42,$G$51,$G$57,$G$66,$G$72)</f>
        <v>0</v>
      </c>
      <c r="H74" s="309">
        <f>SUM($H$14,$H$19,$H$24,$H$33,$H$38,$H$42,$H$51,$H$57,$H$66,$H$72)</f>
        <v>684502.16</v>
      </c>
    </row>
    <row r="75" spans="2:8" ht="14.25" thickTop="1" thickBot="1" x14ac:dyDescent="0.25">
      <c r="B75" s="65"/>
      <c r="C75" s="61"/>
      <c r="D75" s="62"/>
      <c r="E75" s="298"/>
      <c r="F75" s="298"/>
      <c r="G75" s="298"/>
      <c r="H75" s="299"/>
    </row>
    <row r="76" spans="2:8" ht="13.5" thickBot="1" x14ac:dyDescent="0.25">
      <c r="C76" s="53"/>
      <c r="D76" s="203"/>
      <c r="E76" s="316"/>
      <c r="F76" s="316"/>
      <c r="G76" s="316"/>
      <c r="H76" s="316"/>
    </row>
    <row r="77" spans="2:8" x14ac:dyDescent="0.2">
      <c r="B77" s="46" t="s">
        <v>196</v>
      </c>
      <c r="C77" s="63"/>
      <c r="D77" s="47"/>
      <c r="E77" s="310"/>
      <c r="F77" s="258"/>
      <c r="G77" s="258"/>
      <c r="H77" s="283"/>
    </row>
    <row r="78" spans="2:8" x14ac:dyDescent="0.2">
      <c r="B78" s="64"/>
      <c r="C78" s="53"/>
      <c r="D78" s="54" t="str">
        <f>'3.0 Cost Variables'!B23</f>
        <v>Hardware Cost</v>
      </c>
      <c r="E78" s="300">
        <f>'5.2 YR1'!E78</f>
        <v>0</v>
      </c>
      <c r="F78" s="250">
        <f>'3.0 Cost Variables'!F23</f>
        <v>0</v>
      </c>
      <c r="G78" s="250">
        <v>0</v>
      </c>
      <c r="H78" s="265">
        <f>SUM(F78:G78)</f>
        <v>0</v>
      </c>
    </row>
    <row r="79" spans="2:8" x14ac:dyDescent="0.2">
      <c r="B79" s="64"/>
      <c r="C79" s="53"/>
      <c r="D79" s="54" t="str">
        <f>'3.0 Cost Variables'!B24</f>
        <v>Software Cost</v>
      </c>
      <c r="E79" s="300">
        <f>'5.2 YR1'!E79</f>
        <v>0</v>
      </c>
      <c r="F79" s="250">
        <f>'3.0 Cost Variables'!F24</f>
        <v>0</v>
      </c>
      <c r="G79" s="250">
        <v>0</v>
      </c>
      <c r="H79" s="265">
        <f>SUM(F79:G79)</f>
        <v>0</v>
      </c>
    </row>
    <row r="80" spans="2:8" x14ac:dyDescent="0.2">
      <c r="B80" s="64"/>
      <c r="C80" s="55"/>
      <c r="D80" s="56" t="s">
        <v>117</v>
      </c>
      <c r="E80" s="301">
        <f>'5.2 YR1'!E80</f>
        <v>6700</v>
      </c>
      <c r="F80" s="251">
        <f>Training2</f>
        <v>5000</v>
      </c>
      <c r="G80" s="251">
        <v>0</v>
      </c>
      <c r="H80" s="266">
        <f>SUM(F80:G80)</f>
        <v>5000</v>
      </c>
    </row>
    <row r="81" spans="2:8" ht="13.5" thickBot="1" x14ac:dyDescent="0.25">
      <c r="B81" s="279"/>
      <c r="C81" s="280"/>
      <c r="D81" s="237" t="s">
        <v>257</v>
      </c>
      <c r="E81" s="302">
        <f>SUM(E78:E80)</f>
        <v>6700</v>
      </c>
      <c r="F81" s="252">
        <f>SUM(F78:F80)</f>
        <v>5000</v>
      </c>
      <c r="G81" s="252">
        <f>SUM(G78:G80)</f>
        <v>0</v>
      </c>
      <c r="H81" s="238">
        <f>SUM(H78:H80)</f>
        <v>5000</v>
      </c>
    </row>
    <row r="82" spans="2:8" ht="13.5" thickBot="1" x14ac:dyDescent="0.25">
      <c r="B82" s="284"/>
      <c r="C82" s="281"/>
      <c r="D82" s="62"/>
      <c r="E82" s="286"/>
      <c r="F82" s="285"/>
      <c r="G82" s="286"/>
      <c r="H82" s="287"/>
    </row>
    <row r="83" spans="2:8" ht="13.5" thickBot="1" x14ac:dyDescent="0.25">
      <c r="E83" s="315"/>
      <c r="F83" s="315"/>
      <c r="G83" s="315"/>
      <c r="H83" s="315"/>
    </row>
    <row r="84" spans="2:8" x14ac:dyDescent="0.2">
      <c r="B84" s="46" t="s">
        <v>108</v>
      </c>
      <c r="C84" s="47"/>
      <c r="D84" s="48"/>
      <c r="E84" s="312"/>
      <c r="F84" s="248"/>
      <c r="G84" s="248"/>
      <c r="H84" s="263"/>
    </row>
    <row r="85" spans="2:8" x14ac:dyDescent="0.2">
      <c r="B85" s="52"/>
      <c r="D85" s="54" t="str">
        <f>IF(ExistingIEPD= "YES", "There is an existing IEPD","There is not and existing IEPD")</f>
        <v>There is not and existing IEPD</v>
      </c>
      <c r="E85" s="300">
        <f>VALUE(IF(ExistingIEPD="YES",SUM(E18,E22,E27:E28,E30)*-1,0))</f>
        <v>0</v>
      </c>
      <c r="F85" s="250">
        <f>VALUE(IF(ExistingIEPD="YES",SUM(F18,F22,F27:F28,F30)*-1,0))</f>
        <v>0</v>
      </c>
      <c r="G85" s="250">
        <f>VALUE(IF(ExistingIEPD="YES",SUM(G18,G22,G27:G28,G30)*-1,0))</f>
        <v>0</v>
      </c>
      <c r="H85" s="265">
        <f>SUM(F85:G85)</f>
        <v>0</v>
      </c>
    </row>
    <row r="86" spans="2:8" x14ac:dyDescent="0.2">
      <c r="B86" s="52"/>
      <c r="D86" s="74" t="str">
        <f xml:space="preserve"> "Adjustment because " &amp; Overlap</f>
        <v>Adjustment because Some (&lt;50%) Elements Already Exist in NIEM</v>
      </c>
      <c r="E86" s="300">
        <f>VLOOKUP(Overlap,'2.0 Exchange Variables'!$A$18:$B$21,2,FALSE)*(E29+E23)</f>
        <v>-8941.0400000000009</v>
      </c>
      <c r="F86" s="250">
        <f>VLOOKUP(Overlap,'2.0 Exchange Variables'!$A$18:$B$21,2,FALSE)*(F29+F23)</f>
        <v>-2235.2600000000002</v>
      </c>
      <c r="G86" s="250">
        <f>VLOOKUP(Overlap,'2.0 Exchange Variables'!$A$18:$B$21,2,FALSE)*(G29+G23)</f>
        <v>0</v>
      </c>
      <c r="H86" s="265">
        <f t="shared" ref="H86:H87" si="3">SUM(F86:G86)</f>
        <v>-2235.2600000000002</v>
      </c>
    </row>
    <row r="87" spans="2:8" x14ac:dyDescent="0.2">
      <c r="B87" s="52"/>
      <c r="C87" s="56"/>
      <c r="D87" s="66" t="s">
        <v>265</v>
      </c>
      <c r="E87" s="301">
        <f>IF((E74+E81)&gt;0,('3.0 Cost Variables'!C37)*-1,0)</f>
        <v>0</v>
      </c>
      <c r="F87" s="251">
        <f>IF((F74+F81)&gt;0,(VALUE(IF(NewConsumers&gt;0,E87*NewConsumers,))),0)</f>
        <v>0</v>
      </c>
      <c r="G87" s="251">
        <f>IF((G74+G81)&gt;0,(VALUE(IF(NewIEPDs&gt;0,E87*NewIEPDs,0))),0)</f>
        <v>0</v>
      </c>
      <c r="H87" s="266">
        <f t="shared" si="3"/>
        <v>0</v>
      </c>
    </row>
    <row r="88" spans="2:8" ht="13.5" thickBot="1" x14ac:dyDescent="0.25">
      <c r="B88" s="279"/>
      <c r="C88" s="280"/>
      <c r="D88" s="237" t="s">
        <v>257</v>
      </c>
      <c r="E88" s="311">
        <f>SUM(E85:E87)</f>
        <v>-8941.0400000000009</v>
      </c>
      <c r="F88" s="282">
        <f t="shared" ref="F88:H88" si="4">SUM(F85:F87)</f>
        <v>-2235.2600000000002</v>
      </c>
      <c r="G88" s="262">
        <f t="shared" si="4"/>
        <v>0</v>
      </c>
      <c r="H88" s="272">
        <f t="shared" si="4"/>
        <v>-2235.2600000000002</v>
      </c>
    </row>
    <row r="89" spans="2:8" ht="13.5" thickBot="1" x14ac:dyDescent="0.25">
      <c r="B89" s="284"/>
      <c r="C89" s="281"/>
      <c r="D89" s="291"/>
      <c r="E89" s="292"/>
      <c r="F89" s="288"/>
      <c r="G89" s="289"/>
      <c r="H89" s="290"/>
    </row>
    <row r="90" spans="2:8" ht="13.5" thickBot="1" x14ac:dyDescent="0.25"/>
    <row r="91" spans="2:8" ht="13.5" thickBot="1" x14ac:dyDescent="0.25">
      <c r="B91" s="67" t="s">
        <v>119</v>
      </c>
      <c r="C91" s="68"/>
      <c r="D91" s="68"/>
      <c r="E91" s="313">
        <f>E74+E81+E88</f>
        <v>682535.04</v>
      </c>
      <c r="F91" s="69">
        <f t="shared" ref="F91:H91" si="5">F74+F81+F88</f>
        <v>173890.28</v>
      </c>
      <c r="G91" s="246">
        <f t="shared" si="5"/>
        <v>0</v>
      </c>
      <c r="H91" s="70">
        <f t="shared" si="5"/>
        <v>687266.9</v>
      </c>
    </row>
  </sheetData>
  <mergeCells count="4">
    <mergeCell ref="A1:XFD1"/>
    <mergeCell ref="A7:C7"/>
    <mergeCell ref="E7:H7"/>
    <mergeCell ref="A5:D5"/>
  </mergeCells>
  <hyperlinks>
    <hyperlink ref="A5" location="Overview!A1" display="Overview"/>
  </hyperlinks>
  <pageMargins left="0.5" right="0.5" top="1" bottom="1" header="0.5" footer="0.5"/>
  <pageSetup paperSize="5" scale="74" fitToHeight="2"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CC00"/>
    <pageSetUpPr fitToPage="1"/>
  </sheetPr>
  <dimension ref="A1:I91"/>
  <sheetViews>
    <sheetView showGridLines="0" zoomScale="85" zoomScaleNormal="85" zoomScalePageLayoutView="85" workbookViewId="0">
      <selection activeCell="D18" sqref="D18"/>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7" width="20" style="54" customWidth="1"/>
    <col min="8" max="8" width="24.7109375" style="54" customWidth="1"/>
    <col min="9" max="16384" width="8.85546875" style="54"/>
  </cols>
  <sheetData>
    <row r="1" spans="1:9" s="395" customFormat="1" ht="51.75" customHeight="1" x14ac:dyDescent="0.5"/>
    <row r="2" spans="1:9" s="118" customFormat="1" ht="16.5" customHeight="1" x14ac:dyDescent="0.5">
      <c r="A2" s="121" t="s">
        <v>358</v>
      </c>
      <c r="B2" s="120"/>
    </row>
    <row r="3" spans="1:9" s="119" customFormat="1" ht="19.5" customHeight="1" x14ac:dyDescent="0.5">
      <c r="A3" s="122" t="s">
        <v>300</v>
      </c>
    </row>
    <row r="4" spans="1:9" s="296" customFormat="1" ht="9" customHeight="1" x14ac:dyDescent="0.35"/>
    <row r="5" spans="1:9" s="297" customFormat="1" ht="12" customHeight="1" x14ac:dyDescent="0.2">
      <c r="A5" s="411" t="s">
        <v>194</v>
      </c>
      <c r="B5" s="411"/>
      <c r="C5" s="411"/>
      <c r="D5" s="411"/>
    </row>
    <row r="6" spans="1:9" s="297" customFormat="1" ht="10.5" customHeight="1" thickBot="1" x14ac:dyDescent="0.25">
      <c r="A6" s="317"/>
      <c r="B6" s="317"/>
      <c r="C6" s="317"/>
      <c r="D6" s="317"/>
    </row>
    <row r="7" spans="1:9" ht="12" customHeight="1" x14ac:dyDescent="0.2">
      <c r="A7" s="454"/>
      <c r="B7" s="454"/>
      <c r="C7" s="454"/>
      <c r="D7" s="74"/>
      <c r="E7" s="455" t="s">
        <v>112</v>
      </c>
      <c r="F7" s="456"/>
      <c r="G7" s="456"/>
      <c r="H7" s="457"/>
      <c r="I7" s="314"/>
    </row>
    <row r="8" spans="1:9" ht="39" thickBot="1" x14ac:dyDescent="0.25">
      <c r="E8" s="319" t="s">
        <v>268</v>
      </c>
      <c r="F8" s="247" t="s">
        <v>114</v>
      </c>
      <c r="G8" s="247" t="s">
        <v>115</v>
      </c>
      <c r="H8" s="306" t="str">
        <f>"Total Cost to build " &amp; NewIEPDs3 &amp; " NIEM exchanges and reuse " &amp; NewConsumers3 &amp; " NIEM exchanges"</f>
        <v>Total Cost to build 0 NIEM exchanges and reuse 5 NIEM exchanges</v>
      </c>
    </row>
    <row r="9" spans="1:9" x14ac:dyDescent="0.2">
      <c r="B9" s="46" t="s">
        <v>301</v>
      </c>
      <c r="C9" s="47"/>
      <c r="D9" s="48"/>
      <c r="E9" s="248"/>
      <c r="F9" s="248"/>
      <c r="G9" s="248"/>
      <c r="H9" s="49"/>
    </row>
    <row r="10" spans="1:9" ht="15.75" customHeight="1" x14ac:dyDescent="0.2">
      <c r="B10" s="233">
        <v>1</v>
      </c>
      <c r="C10" s="234" t="s">
        <v>12</v>
      </c>
      <c r="D10" s="235"/>
      <c r="E10" s="254"/>
      <c r="F10" s="249"/>
      <c r="G10" s="260"/>
      <c r="H10" s="51"/>
    </row>
    <row r="11" spans="1:9" x14ac:dyDescent="0.2">
      <c r="B11" s="52"/>
      <c r="C11" s="53">
        <v>1.1000000000000001</v>
      </c>
      <c r="D11" s="54" t="s">
        <v>68</v>
      </c>
      <c r="E11" s="300">
        <f>'5.3 YR2'!E11</f>
        <v>23414.800000000003</v>
      </c>
      <c r="F11" s="250">
        <f>VALUE(IF(NewConsumers3&gt;0,E11*'4.0 Activities'!O11,))</f>
        <v>11707.400000000001</v>
      </c>
      <c r="G11" s="250">
        <f>VALUE(IF(NewIEPDs3&gt;0,E11*'4.0 Activities'!P11,0))</f>
        <v>0</v>
      </c>
      <c r="H11" s="199">
        <f>F11*NewConsumers3+G11*NewIEPDs3</f>
        <v>58537.000000000007</v>
      </c>
    </row>
    <row r="12" spans="1:9" x14ac:dyDescent="0.2">
      <c r="B12" s="52"/>
      <c r="C12" s="53">
        <v>1.2</v>
      </c>
      <c r="D12" s="54" t="s">
        <v>71</v>
      </c>
      <c r="E12" s="300">
        <f>'5.3 YR2'!E12</f>
        <v>55053.600000000006</v>
      </c>
      <c r="F12" s="250">
        <f>VALUE(IF(NewConsumers3&gt;0,E12*'4.0 Activities'!O12,))</f>
        <v>13763.400000000001</v>
      </c>
      <c r="G12" s="250">
        <f>VALUE(IF(NewIEPDs3&gt;0,E12*'4.0 Activities'!P12,0))</f>
        <v>0</v>
      </c>
      <c r="H12" s="199">
        <f>F12*NewConsumers3+G12*NewIEPDs3</f>
        <v>68817</v>
      </c>
    </row>
    <row r="13" spans="1:9" x14ac:dyDescent="0.2">
      <c r="B13" s="52"/>
      <c r="C13" s="55">
        <v>1.3</v>
      </c>
      <c r="D13" s="56" t="s">
        <v>73</v>
      </c>
      <c r="E13" s="301">
        <f>'5.3 YR2'!E13</f>
        <v>27725.200000000001</v>
      </c>
      <c r="F13" s="251">
        <f>VALUE(IF(NewConsumers3&gt;0,E13*'4.0 Activities'!O13,))</f>
        <v>0</v>
      </c>
      <c r="G13" s="251">
        <f>VALUE(IF(NewIEPDs3&gt;0,E13*'4.0 Activities'!P13,0))</f>
        <v>0</v>
      </c>
      <c r="H13" s="200">
        <f>F13*NewConsumers3+G13*NewIEPDs3</f>
        <v>0</v>
      </c>
    </row>
    <row r="14" spans="1:9" ht="13.5" thickBot="1" x14ac:dyDescent="0.25">
      <c r="B14" s="52"/>
      <c r="C14" s="236"/>
      <c r="D14" s="237" t="s">
        <v>257</v>
      </c>
      <c r="E14" s="302">
        <f>SUM(E11:E13)</f>
        <v>106193.60000000001</v>
      </c>
      <c r="F14" s="252">
        <f>SUM(F11:F13)</f>
        <v>25470.800000000003</v>
      </c>
      <c r="G14" s="252">
        <f>SUM(G11:G13)</f>
        <v>0</v>
      </c>
      <c r="H14" s="238">
        <f>SUM(H11:H13)</f>
        <v>127354</v>
      </c>
    </row>
    <row r="15" spans="1:9" x14ac:dyDescent="0.2">
      <c r="B15" s="52"/>
      <c r="C15" s="53"/>
      <c r="D15" s="203"/>
      <c r="E15" s="253"/>
      <c r="F15" s="253"/>
      <c r="G15" s="253"/>
      <c r="H15" s="204"/>
    </row>
    <row r="16" spans="1:9" x14ac:dyDescent="0.2">
      <c r="B16" s="233">
        <v>2</v>
      </c>
      <c r="C16" s="234" t="s">
        <v>13</v>
      </c>
      <c r="D16" s="50"/>
      <c r="E16" s="254"/>
      <c r="F16" s="254"/>
      <c r="G16" s="254"/>
      <c r="H16" s="51"/>
    </row>
    <row r="17" spans="2:8" x14ac:dyDescent="0.2">
      <c r="B17" s="52"/>
      <c r="C17" s="53">
        <v>2.1</v>
      </c>
      <c r="D17" s="54" t="s">
        <v>74</v>
      </c>
      <c r="E17" s="300">
        <f>'5.3 YR2'!E17</f>
        <v>56365.2</v>
      </c>
      <c r="F17" s="250">
        <f>VALUE(IF(NewConsumers3&gt;0,E17*'4.0 Activities'!O15,))</f>
        <v>0</v>
      </c>
      <c r="G17" s="250">
        <f>VALUE(IF(NewIEPDs3&gt;0,E17*'4.0 Activities'!P15,0))</f>
        <v>0</v>
      </c>
      <c r="H17" s="199">
        <f>F17*NewConsumers3+G17*NewIEPDs3</f>
        <v>0</v>
      </c>
    </row>
    <row r="18" spans="2:8" x14ac:dyDescent="0.2">
      <c r="B18" s="52"/>
      <c r="C18" s="55">
        <v>2.2000000000000002</v>
      </c>
      <c r="D18" s="56" t="s">
        <v>75</v>
      </c>
      <c r="E18" s="301">
        <f>'5.3 YR2'!E18</f>
        <v>28104.800000000003</v>
      </c>
      <c r="F18" s="251">
        <f>VALUE(IF(NewConsumers3&gt;0,E18*'4.0 Activities'!O16,))</f>
        <v>0</v>
      </c>
      <c r="G18" s="251">
        <f>VALUE(IF(NewIEPDs3&gt;0,E18*'4.0 Activities'!P16,0))</f>
        <v>0</v>
      </c>
      <c r="H18" s="200">
        <f>F18*NewConsumers3+G18*NewIEPDs3</f>
        <v>0</v>
      </c>
    </row>
    <row r="19" spans="2:8" ht="13.5" thickBot="1" x14ac:dyDescent="0.25">
      <c r="B19" s="52"/>
      <c r="C19" s="241"/>
      <c r="D19" s="237" t="s">
        <v>257</v>
      </c>
      <c r="E19" s="303">
        <f>SUM(E17:E18)</f>
        <v>84470</v>
      </c>
      <c r="F19" s="255">
        <f>SUM(F17:F18)</f>
        <v>0</v>
      </c>
      <c r="G19" s="255">
        <f>SUM(G17:G18)</f>
        <v>0</v>
      </c>
      <c r="H19" s="242">
        <f>SUM(H17:H18)</f>
        <v>0</v>
      </c>
    </row>
    <row r="20" spans="2:8" x14ac:dyDescent="0.2">
      <c r="B20" s="52"/>
      <c r="C20" s="239"/>
      <c r="D20" s="203"/>
      <c r="E20" s="305"/>
      <c r="F20" s="305"/>
      <c r="G20" s="305"/>
      <c r="H20" s="240"/>
    </row>
    <row r="21" spans="2:8" x14ac:dyDescent="0.2">
      <c r="B21" s="233">
        <v>3</v>
      </c>
      <c r="C21" s="234" t="s">
        <v>77</v>
      </c>
      <c r="D21" s="50"/>
      <c r="E21" s="254"/>
      <c r="F21" s="254"/>
      <c r="G21" s="254"/>
      <c r="H21" s="51"/>
    </row>
    <row r="22" spans="2:8" x14ac:dyDescent="0.2">
      <c r="B22" s="57"/>
      <c r="C22" s="53">
        <v>3.1</v>
      </c>
      <c r="D22" s="54" t="s">
        <v>78</v>
      </c>
      <c r="E22" s="300">
        <f>'5.3 YR2'!E22</f>
        <v>24366.000000000004</v>
      </c>
      <c r="F22" s="250">
        <f>VALUE(IF(NewConsumers3&gt;0,E22*'4.0 Activities'!O18,))</f>
        <v>0</v>
      </c>
      <c r="G22" s="250">
        <f>VALUE(IF(NewIEPDs3&gt;0,E22*'4.0 Activities'!P18,0))</f>
        <v>0</v>
      </c>
      <c r="H22" s="199">
        <f>F22*NewConsumers3+G22*NewIEPDs3</f>
        <v>0</v>
      </c>
    </row>
    <row r="23" spans="2:8" x14ac:dyDescent="0.2">
      <c r="B23" s="57"/>
      <c r="C23" s="58" t="s">
        <v>79</v>
      </c>
      <c r="D23" s="56" t="s">
        <v>80</v>
      </c>
      <c r="E23" s="301">
        <f>'5.3 YR2'!E23</f>
        <v>25196.800000000003</v>
      </c>
      <c r="F23" s="251">
        <f>VALUE(IF(NewConsumers3&gt;0,E23*'4.0 Activities'!O19,))</f>
        <v>6299.2000000000007</v>
      </c>
      <c r="G23" s="251">
        <f>VALUE(IF(NewIEPDs3&gt;0,E23*'4.0 Activities'!P19,0))</f>
        <v>0</v>
      </c>
      <c r="H23" s="200">
        <f>F23*NewConsumers3+G23*NewIEPDs3</f>
        <v>31496.000000000004</v>
      </c>
    </row>
    <row r="24" spans="2:8" ht="13.5" thickBot="1" x14ac:dyDescent="0.25">
      <c r="B24" s="57"/>
      <c r="C24" s="244"/>
      <c r="D24" s="237" t="s">
        <v>257</v>
      </c>
      <c r="E24" s="302">
        <f>SUM(E22:E23)</f>
        <v>49562.8</v>
      </c>
      <c r="F24" s="252">
        <f>SUM(F22:F23)</f>
        <v>6299.2000000000007</v>
      </c>
      <c r="G24" s="252">
        <f>SUM(G22:G23)</f>
        <v>0</v>
      </c>
      <c r="H24" s="238">
        <f>SUM(H22:H23)</f>
        <v>31496.000000000004</v>
      </c>
    </row>
    <row r="25" spans="2:8" x14ac:dyDescent="0.2">
      <c r="B25" s="57"/>
      <c r="C25" s="243"/>
      <c r="D25" s="203"/>
      <c r="E25" s="253"/>
      <c r="F25" s="253"/>
      <c r="G25" s="253"/>
      <c r="H25" s="204"/>
    </row>
    <row r="26" spans="2:8" x14ac:dyDescent="0.2">
      <c r="B26" s="233">
        <v>4</v>
      </c>
      <c r="C26" s="234" t="s">
        <v>81</v>
      </c>
      <c r="D26" s="261"/>
      <c r="E26" s="254"/>
      <c r="F26" s="254"/>
      <c r="G26" s="254"/>
      <c r="H26" s="51"/>
    </row>
    <row r="27" spans="2:8" x14ac:dyDescent="0.2">
      <c r="B27" s="57"/>
      <c r="C27" s="53">
        <v>4.0999999999999996</v>
      </c>
      <c r="D27" s="54" t="s">
        <v>82</v>
      </c>
      <c r="E27" s="300">
        <f>'5.3 YR2'!E27</f>
        <v>7360.8</v>
      </c>
      <c r="F27" s="250">
        <f>VALUE(IF(NewConsumers3&gt;0,E27*'4.0 Activities'!O21,))</f>
        <v>1840.2</v>
      </c>
      <c r="G27" s="250">
        <f>VALUE(IF(NewIEPDs3&gt;0,E27*'4.0 Activities'!P21,0))</f>
        <v>0</v>
      </c>
      <c r="H27" s="199">
        <f t="shared" ref="H27:H32" si="0">F27*NewConsumers3+G27*NewIEPDs3</f>
        <v>9201</v>
      </c>
    </row>
    <row r="28" spans="2:8" x14ac:dyDescent="0.2">
      <c r="B28" s="57"/>
      <c r="C28" s="53" t="s">
        <v>83</v>
      </c>
      <c r="D28" s="54" t="s">
        <v>84</v>
      </c>
      <c r="E28" s="300">
        <f>'5.3 YR2'!E28</f>
        <v>2822.4</v>
      </c>
      <c r="F28" s="250">
        <f>VALUE(IF(NewConsumers3&gt;0,E28*'4.0 Activities'!O22,))</f>
        <v>705.6</v>
      </c>
      <c r="G28" s="250">
        <f>VALUE(IF(NewIEPDs3&gt;0,E28*'4.0 Activities'!P22,0))</f>
        <v>0</v>
      </c>
      <c r="H28" s="199">
        <f t="shared" si="0"/>
        <v>3528</v>
      </c>
    </row>
    <row r="29" spans="2:8" x14ac:dyDescent="0.2">
      <c r="B29" s="57"/>
      <c r="C29" s="53" t="s">
        <v>85</v>
      </c>
      <c r="D29" s="54" t="s">
        <v>116</v>
      </c>
      <c r="E29" s="300">
        <f>'5.3 YR2'!E29</f>
        <v>19508.400000000001</v>
      </c>
      <c r="F29" s="250">
        <f>VALUE(IF(NewConsumers3&gt;0,E29*'4.0 Activities'!O23,))</f>
        <v>4877.1000000000004</v>
      </c>
      <c r="G29" s="250">
        <f>VALUE(IF(NewIEPDs3&gt;0,E29*'4.0 Activities'!P23,0))</f>
        <v>0</v>
      </c>
      <c r="H29" s="199">
        <f t="shared" si="0"/>
        <v>24385.5</v>
      </c>
    </row>
    <row r="30" spans="2:8" x14ac:dyDescent="0.2">
      <c r="B30" s="57"/>
      <c r="C30" s="53" t="s">
        <v>87</v>
      </c>
      <c r="D30" s="54" t="s">
        <v>88</v>
      </c>
      <c r="E30" s="300">
        <f>'5.3 YR2'!E30</f>
        <v>13005.6</v>
      </c>
      <c r="F30" s="250">
        <f>VALUE(IF(NewConsumers3&gt;0,E30*'4.0 Activities'!O24,))</f>
        <v>6502.8</v>
      </c>
      <c r="G30" s="250">
        <f>VALUE(IF(NewIEPDs3&gt;0,E30*'4.0 Activities'!P24,0))</f>
        <v>0</v>
      </c>
      <c r="H30" s="199">
        <f t="shared" si="0"/>
        <v>32514</v>
      </c>
    </row>
    <row r="31" spans="2:8" x14ac:dyDescent="0.2">
      <c r="B31" s="57"/>
      <c r="C31" s="53">
        <v>4.3</v>
      </c>
      <c r="D31" s="54" t="s">
        <v>89</v>
      </c>
      <c r="E31" s="300">
        <f>'5.3 YR2'!E31</f>
        <v>17005.599999999999</v>
      </c>
      <c r="F31" s="250">
        <f>VALUE(IF(NewConsumers3&gt;0,E31*'4.0 Activities'!O25,))</f>
        <v>8502.7999999999993</v>
      </c>
      <c r="G31" s="250">
        <f>VALUE(IF(NewIEPDs3&gt;0,E31*'4.0 Activities'!P25,0))</f>
        <v>0</v>
      </c>
      <c r="H31" s="199">
        <f t="shared" si="0"/>
        <v>42514</v>
      </c>
    </row>
    <row r="32" spans="2:8" x14ac:dyDescent="0.2">
      <c r="B32" s="57"/>
      <c r="C32" s="55">
        <v>4.4000000000000004</v>
      </c>
      <c r="D32" s="56" t="s">
        <v>90</v>
      </c>
      <c r="E32" s="301">
        <f>'5.3 YR2'!E32</f>
        <v>15361.28</v>
      </c>
      <c r="F32" s="251">
        <f>VALUE(IF(NewConsumers3&gt;0,E32*'4.0 Activities'!O26,))</f>
        <v>7680.64</v>
      </c>
      <c r="G32" s="251">
        <f>VALUE(IF(NewIEPDs3&gt;0,E32*'4.0 Activities'!P26,0))</f>
        <v>0</v>
      </c>
      <c r="H32" s="200">
        <f t="shared" si="0"/>
        <v>38403.200000000004</v>
      </c>
    </row>
    <row r="33" spans="2:8" ht="13.5" thickBot="1" x14ac:dyDescent="0.25">
      <c r="B33" s="57"/>
      <c r="C33" s="241"/>
      <c r="D33" s="237" t="s">
        <v>257</v>
      </c>
      <c r="E33" s="302">
        <f>SUM(E27:E32)</f>
        <v>75064.08</v>
      </c>
      <c r="F33" s="252">
        <f>SUM(F27:F32)</f>
        <v>30109.14</v>
      </c>
      <c r="G33" s="252">
        <f>SUM(G27:G32)</f>
        <v>0</v>
      </c>
      <c r="H33" s="238">
        <f>SUM(H27:H32)</f>
        <v>150545.70000000001</v>
      </c>
    </row>
    <row r="34" spans="2:8" x14ac:dyDescent="0.2">
      <c r="B34" s="57"/>
      <c r="C34" s="239"/>
      <c r="D34" s="203"/>
      <c r="E34" s="253"/>
      <c r="F34" s="253"/>
      <c r="G34" s="253"/>
      <c r="H34" s="204"/>
    </row>
    <row r="35" spans="2:8" x14ac:dyDescent="0.2">
      <c r="B35" s="233">
        <v>5</v>
      </c>
      <c r="C35" s="234" t="s">
        <v>91</v>
      </c>
      <c r="D35" s="261"/>
      <c r="E35" s="254"/>
      <c r="F35" s="254"/>
      <c r="G35" s="254"/>
      <c r="H35" s="51"/>
    </row>
    <row r="36" spans="2:8" x14ac:dyDescent="0.2">
      <c r="B36" s="57"/>
      <c r="C36" s="53">
        <v>5.0999999999999996</v>
      </c>
      <c r="D36" s="54" t="s">
        <v>92</v>
      </c>
      <c r="E36" s="300">
        <f>'5.3 YR2'!E36</f>
        <v>17077.2</v>
      </c>
      <c r="F36" s="250">
        <f>VALUE(IF(NewConsumers3&gt;0,E36*'4.0 Activities'!O28,))</f>
        <v>4269.3</v>
      </c>
      <c r="G36" s="250">
        <f>VALUE(IF(NewIEPDs3&gt;0,E36*'4.0 Activities'!P28,0))</f>
        <v>0</v>
      </c>
      <c r="H36" s="199">
        <f>F36*NewConsumers3+G36*NewIEPDs3</f>
        <v>21346.5</v>
      </c>
    </row>
    <row r="37" spans="2:8" x14ac:dyDescent="0.2">
      <c r="B37" s="57"/>
      <c r="C37" s="55">
        <v>5.2</v>
      </c>
      <c r="D37" s="56" t="s">
        <v>93</v>
      </c>
      <c r="E37" s="301">
        <f>'5.3 YR2'!E37</f>
        <v>17630.800000000003</v>
      </c>
      <c r="F37" s="251">
        <f>VALUE(IF(NewConsumers3&gt;0,E37*'4.0 Activities'!O29,))</f>
        <v>4407.7000000000007</v>
      </c>
      <c r="G37" s="251">
        <f>VALUE(IF(NewIEPDs3&gt;0,E37*'4.0 Activities'!P29,0))</f>
        <v>0</v>
      </c>
      <c r="H37" s="200">
        <f>F37*NewConsumers3+G37*NewIEPDs3</f>
        <v>22038.500000000004</v>
      </c>
    </row>
    <row r="38" spans="2:8" ht="13.5" thickBot="1" x14ac:dyDescent="0.25">
      <c r="B38" s="57"/>
      <c r="C38" s="241"/>
      <c r="D38" s="237" t="s">
        <v>257</v>
      </c>
      <c r="E38" s="302">
        <f>SUM(E36:E37)</f>
        <v>34708</v>
      </c>
      <c r="F38" s="252">
        <f>SUM(F36:F37)</f>
        <v>8677</v>
      </c>
      <c r="G38" s="252">
        <f>SUM(G36:G37)</f>
        <v>0</v>
      </c>
      <c r="H38" s="238">
        <f>SUM(H36:H37)</f>
        <v>43385</v>
      </c>
    </row>
    <row r="39" spans="2:8" x14ac:dyDescent="0.2">
      <c r="B39" s="57"/>
      <c r="C39" s="239"/>
      <c r="D39" s="203"/>
      <c r="E39" s="253"/>
      <c r="F39" s="253"/>
      <c r="G39" s="253"/>
      <c r="H39" s="204"/>
    </row>
    <row r="40" spans="2:8" x14ac:dyDescent="0.2">
      <c r="B40" s="233">
        <v>6</v>
      </c>
      <c r="C40" s="234" t="s">
        <v>14</v>
      </c>
      <c r="D40" s="50"/>
      <c r="E40" s="254"/>
      <c r="F40" s="254"/>
      <c r="G40" s="254"/>
      <c r="H40" s="51"/>
    </row>
    <row r="41" spans="2:8" x14ac:dyDescent="0.2">
      <c r="B41" s="52"/>
      <c r="C41" s="55">
        <v>6.1</v>
      </c>
      <c r="D41" s="56" t="s">
        <v>94</v>
      </c>
      <c r="E41" s="301">
        <f>'5.3 YR2'!E41</f>
        <v>13673.6</v>
      </c>
      <c r="F41" s="251">
        <f>VALUE(IF(NewConsumers3&gt;0,E41*'4.0 Activities'!O31,))</f>
        <v>3418.4</v>
      </c>
      <c r="G41" s="251">
        <f>VALUE(IF(NewIEPDs3&gt;0,E41*'4.0 Activities'!P31,0))</f>
        <v>0</v>
      </c>
      <c r="H41" s="200">
        <f>F41*NewConsumers3+G41*NewIEPDs3</f>
        <v>17092</v>
      </c>
    </row>
    <row r="42" spans="2:8" ht="13.5" thickBot="1" x14ac:dyDescent="0.25">
      <c r="B42" s="52"/>
      <c r="C42" s="241"/>
      <c r="D42" s="237" t="s">
        <v>257</v>
      </c>
      <c r="E42" s="302">
        <f>SUM(E41)</f>
        <v>13673.6</v>
      </c>
      <c r="F42" s="252">
        <f t="shared" ref="F42:H42" si="1">SUM(F41)</f>
        <v>3418.4</v>
      </c>
      <c r="G42" s="252">
        <f t="shared" si="1"/>
        <v>0</v>
      </c>
      <c r="H42" s="238">
        <f t="shared" si="1"/>
        <v>17092</v>
      </c>
    </row>
    <row r="43" spans="2:8" x14ac:dyDescent="0.2">
      <c r="B43" s="52"/>
      <c r="C43" s="239"/>
      <c r="D43" s="203"/>
      <c r="E43" s="253"/>
      <c r="F43" s="253"/>
      <c r="G43" s="253"/>
      <c r="H43" s="204"/>
    </row>
    <row r="44" spans="2:8" x14ac:dyDescent="0.2">
      <c r="B44" s="233">
        <v>7</v>
      </c>
      <c r="C44" s="234" t="s">
        <v>233</v>
      </c>
      <c r="D44" s="50"/>
      <c r="E44" s="257"/>
      <c r="F44" s="257"/>
      <c r="G44" s="257"/>
      <c r="H44" s="60"/>
    </row>
    <row r="45" spans="2:8" x14ac:dyDescent="0.2">
      <c r="B45" s="52"/>
      <c r="C45" s="53">
        <v>7.1</v>
      </c>
      <c r="D45" s="54" t="s">
        <v>186</v>
      </c>
      <c r="E45" s="300">
        <f>'5.3 YR2'!E45</f>
        <v>27239.600000000002</v>
      </c>
      <c r="F45" s="250">
        <f>VALUE(IF(NewConsumers3&gt;0,E45*'4.0 Activities'!O33,))</f>
        <v>0</v>
      </c>
      <c r="G45" s="250">
        <f>VALUE(IF(NewIEPDs3&gt;0,E45*'4.0 Activities'!P33,0))</f>
        <v>0</v>
      </c>
      <c r="H45" s="199">
        <f t="shared" ref="H45:H50" si="2">F45*NewConsumers3+G45*NewIEPDs3</f>
        <v>0</v>
      </c>
    </row>
    <row r="46" spans="2:8" x14ac:dyDescent="0.2">
      <c r="B46" s="52"/>
      <c r="C46" s="53">
        <v>7.2</v>
      </c>
      <c r="D46" s="54" t="s">
        <v>234</v>
      </c>
      <c r="E46" s="300">
        <f>'5.3 YR2'!E46</f>
        <v>23239.600000000002</v>
      </c>
      <c r="F46" s="250">
        <f>VALUE(IF(NewConsumers3&gt;0,E46*'4.0 Activities'!O34,))</f>
        <v>0</v>
      </c>
      <c r="G46" s="250">
        <f>VALUE(IF(NewIEPDs3&gt;0,E46*'4.0 Activities'!P34,0))</f>
        <v>0</v>
      </c>
      <c r="H46" s="199">
        <f t="shared" si="2"/>
        <v>0</v>
      </c>
    </row>
    <row r="47" spans="2:8" x14ac:dyDescent="0.2">
      <c r="B47" s="52"/>
      <c r="C47" s="53">
        <v>7.3</v>
      </c>
      <c r="D47" s="54" t="s">
        <v>187</v>
      </c>
      <c r="E47" s="300">
        <f>'5.3 YR2'!E47</f>
        <v>23239.600000000002</v>
      </c>
      <c r="F47" s="250">
        <f>VALUE(IF(NewConsumers3&gt;0,E47*'4.0 Activities'!O35,))</f>
        <v>5809.9000000000005</v>
      </c>
      <c r="G47" s="250">
        <f>VALUE(IF(NewIEPDs3&gt;0,E47*'4.0 Activities'!P35,0))</f>
        <v>0</v>
      </c>
      <c r="H47" s="199">
        <f t="shared" si="2"/>
        <v>29049.500000000004</v>
      </c>
    </row>
    <row r="48" spans="2:8" x14ac:dyDescent="0.2">
      <c r="B48" s="52"/>
      <c r="C48" s="53">
        <v>7.4</v>
      </c>
      <c r="D48" s="54" t="s">
        <v>161</v>
      </c>
      <c r="E48" s="300">
        <f>'5.3 YR2'!E48</f>
        <v>9644.7999999999993</v>
      </c>
      <c r="F48" s="250">
        <f>VALUE(IF(NewConsumers3&gt;0,E48*'4.0 Activities'!O36,))</f>
        <v>0</v>
      </c>
      <c r="G48" s="250">
        <f>VALUE(IF(NewIEPDs3&gt;0,E48*'4.0 Activities'!P36,0))</f>
        <v>0</v>
      </c>
      <c r="H48" s="199">
        <f t="shared" si="2"/>
        <v>0</v>
      </c>
    </row>
    <row r="49" spans="2:8" x14ac:dyDescent="0.2">
      <c r="B49" s="52"/>
      <c r="C49" s="53">
        <v>7.5</v>
      </c>
      <c r="D49" s="54" t="s">
        <v>162</v>
      </c>
      <c r="E49" s="300">
        <f>'5.3 YR2'!E49</f>
        <v>13846.64</v>
      </c>
      <c r="F49" s="250">
        <f>VALUE(IF(NewConsumers3&gt;0,E49*'4.0 Activities'!O37,))</f>
        <v>0</v>
      </c>
      <c r="G49" s="250">
        <f>VALUE(IF(NewIEPDs3&gt;0,E49*'4.0 Activities'!P37,0))</f>
        <v>0</v>
      </c>
      <c r="H49" s="199">
        <f t="shared" si="2"/>
        <v>0</v>
      </c>
    </row>
    <row r="50" spans="2:8" x14ac:dyDescent="0.2">
      <c r="B50" s="52"/>
      <c r="C50" s="55">
        <v>7.6</v>
      </c>
      <c r="D50" s="56" t="s">
        <v>163</v>
      </c>
      <c r="E50" s="301">
        <f>'5.3 YR2'!E50</f>
        <v>26495.600000000002</v>
      </c>
      <c r="F50" s="251">
        <f>VALUE(IF(NewConsumers3&gt;0,E50*'4.0 Activities'!O38,))</f>
        <v>13247.800000000001</v>
      </c>
      <c r="G50" s="251">
        <f>VALUE(IF(NewIEPDs3&gt;0,E50*'4.0 Activities'!P38,0))</f>
        <v>0</v>
      </c>
      <c r="H50" s="200">
        <f t="shared" si="2"/>
        <v>66239</v>
      </c>
    </row>
    <row r="51" spans="2:8" ht="13.5" thickBot="1" x14ac:dyDescent="0.25">
      <c r="B51" s="52"/>
      <c r="C51" s="241"/>
      <c r="D51" s="237" t="s">
        <v>257</v>
      </c>
      <c r="E51" s="302">
        <f>SUM(E45:E50)</f>
        <v>123705.84000000001</v>
      </c>
      <c r="F51" s="252">
        <f>SUM(F45:F50)</f>
        <v>19057.7</v>
      </c>
      <c r="G51" s="252">
        <f>SUM(G45:G50)</f>
        <v>0</v>
      </c>
      <c r="H51" s="307">
        <f>SUM(H45:H50)</f>
        <v>95288.5</v>
      </c>
    </row>
    <row r="52" spans="2:8" x14ac:dyDescent="0.2">
      <c r="B52" s="52"/>
      <c r="C52" s="239"/>
      <c r="D52" s="203"/>
      <c r="E52" s="253"/>
      <c r="F52" s="253"/>
      <c r="G52" s="253"/>
      <c r="H52" s="308"/>
    </row>
    <row r="53" spans="2:8" x14ac:dyDescent="0.2">
      <c r="B53" s="233">
        <v>8</v>
      </c>
      <c r="C53" s="234" t="s">
        <v>235</v>
      </c>
      <c r="D53" s="50"/>
      <c r="E53" s="257"/>
      <c r="F53" s="257"/>
      <c r="G53" s="257"/>
      <c r="H53" s="60"/>
    </row>
    <row r="54" spans="2:8" x14ac:dyDescent="0.2">
      <c r="B54" s="52"/>
      <c r="C54" s="53">
        <v>8.1</v>
      </c>
      <c r="D54" s="54" t="s">
        <v>236</v>
      </c>
      <c r="E54" s="300">
        <f>'5.3 YR2'!E54</f>
        <v>26920.000000000004</v>
      </c>
      <c r="F54" s="250">
        <f>VALUE(IF(NewConsumers3&gt;0,E54*'4.0 Activities'!O40,))</f>
        <v>6730.0000000000009</v>
      </c>
      <c r="G54" s="250">
        <f>VALUE(IF(NewIEPDs3&gt;0,E54*'4.0 Activities'!P40,0))</f>
        <v>0</v>
      </c>
      <c r="H54" s="199">
        <f>F54*NewConsumers3+G54*NewIEPDs3</f>
        <v>33650.000000000007</v>
      </c>
    </row>
    <row r="55" spans="2:8" x14ac:dyDescent="0.2">
      <c r="B55" s="52"/>
      <c r="C55" s="53">
        <v>8.1999999999999993</v>
      </c>
      <c r="D55" s="54" t="s">
        <v>237</v>
      </c>
      <c r="E55" s="300">
        <f>'5.3 YR2'!E55</f>
        <v>26920.000000000004</v>
      </c>
      <c r="F55" s="250">
        <f>VALUE(IF(NewConsumers3&gt;0,E55*'4.0 Activities'!O41,))</f>
        <v>6730.0000000000009</v>
      </c>
      <c r="G55" s="250">
        <f>VALUE(IF(NewIEPDs3&gt;0,E55*'4.0 Activities'!P41,0))</f>
        <v>0</v>
      </c>
      <c r="H55" s="199">
        <f>F55*NewConsumers3+G55*NewIEPDs3</f>
        <v>33650.000000000007</v>
      </c>
    </row>
    <row r="56" spans="2:8" x14ac:dyDescent="0.2">
      <c r="B56" s="52"/>
      <c r="C56" s="55">
        <v>8.3000000000000007</v>
      </c>
      <c r="D56" s="56" t="s">
        <v>164</v>
      </c>
      <c r="E56" s="301">
        <f>'5.3 YR2'!E56</f>
        <v>22962.800000000003</v>
      </c>
      <c r="F56" s="251">
        <f>VALUE(IF(NewConsumers3&gt;0,E56*'4.0 Activities'!O42,))</f>
        <v>5740.7000000000007</v>
      </c>
      <c r="G56" s="251">
        <f>VALUE(IF(NewIEPDs3&gt;0,E56*'4.0 Activities'!P42,0))</f>
        <v>0</v>
      </c>
      <c r="H56" s="200">
        <f>F56*NewConsumers3+G56*NewIEPDs3</f>
        <v>28703.500000000004</v>
      </c>
    </row>
    <row r="57" spans="2:8" ht="13.5" thickBot="1" x14ac:dyDescent="0.25">
      <c r="B57" s="52"/>
      <c r="C57" s="241"/>
      <c r="D57" s="237" t="s">
        <v>257</v>
      </c>
      <c r="E57" s="302">
        <f>SUM(E54:E56)</f>
        <v>76802.800000000017</v>
      </c>
      <c r="F57" s="252">
        <f>SUM(F54:F56)</f>
        <v>19200.700000000004</v>
      </c>
      <c r="G57" s="252">
        <f>SUM(G54:G56)</f>
        <v>0</v>
      </c>
      <c r="H57" s="307">
        <f>SUM(H54:H56)</f>
        <v>96003.500000000015</v>
      </c>
    </row>
    <row r="58" spans="2:8" x14ac:dyDescent="0.2">
      <c r="B58" s="52"/>
      <c r="C58" s="239"/>
      <c r="D58" s="203"/>
      <c r="E58" s="253"/>
      <c r="F58" s="253"/>
      <c r="G58" s="253"/>
      <c r="H58" s="308"/>
    </row>
    <row r="59" spans="2:8" x14ac:dyDescent="0.2">
      <c r="B59" s="233">
        <v>9</v>
      </c>
      <c r="C59" s="234" t="s">
        <v>178</v>
      </c>
      <c r="D59" s="50"/>
      <c r="E59" s="257"/>
      <c r="F59" s="257"/>
      <c r="G59" s="257"/>
      <c r="H59" s="60"/>
    </row>
    <row r="60" spans="2:8" x14ac:dyDescent="0.2">
      <c r="B60" s="52"/>
      <c r="C60" s="53">
        <v>9.1</v>
      </c>
      <c r="D60" s="54" t="s">
        <v>183</v>
      </c>
      <c r="E60" s="300">
        <f>'5.3 YR2'!E60</f>
        <v>15171.36</v>
      </c>
      <c r="F60" s="250">
        <f>VALUE(IF(NewConsumers3&gt;0,E60*'4.0 Activities'!O44,))</f>
        <v>11378.52</v>
      </c>
      <c r="G60" s="250">
        <f>VALUE(IF(NewIEPDs3&gt;0,E60*'4.0 Activities'!P44,0))</f>
        <v>0</v>
      </c>
      <c r="H60" s="199">
        <f t="shared" ref="H60:H65" si="3">F60*NewConsumers3+G60*NewIEPDs3</f>
        <v>56892.600000000006</v>
      </c>
    </row>
    <row r="61" spans="2:8" x14ac:dyDescent="0.2">
      <c r="B61" s="52"/>
      <c r="C61" s="53">
        <v>9.1999999999999993</v>
      </c>
      <c r="D61" s="54" t="s">
        <v>238</v>
      </c>
      <c r="E61" s="300">
        <f>'5.3 YR2'!E61</f>
        <v>15171.36</v>
      </c>
      <c r="F61" s="250">
        <f>VALUE(IF(NewConsumers3&gt;0,E61*'4.0 Activities'!O45,))</f>
        <v>11378.52</v>
      </c>
      <c r="G61" s="250">
        <f>VALUE(IF(NewIEPDs3&gt;0,E61*'4.0 Activities'!P45,0))</f>
        <v>0</v>
      </c>
      <c r="H61" s="199">
        <f t="shared" si="3"/>
        <v>56892.600000000006</v>
      </c>
    </row>
    <row r="62" spans="2:8" x14ac:dyDescent="0.2">
      <c r="B62" s="52"/>
      <c r="C62" s="53">
        <v>9.3000000000000007</v>
      </c>
      <c r="D62" s="54" t="s">
        <v>184</v>
      </c>
      <c r="E62" s="300">
        <f>'5.3 YR2'!E62</f>
        <v>15171.36</v>
      </c>
      <c r="F62" s="250">
        <f>VALUE(IF(NewConsumers3&gt;0,E62*'4.0 Activities'!O46,))</f>
        <v>11378.52</v>
      </c>
      <c r="G62" s="250">
        <f>VALUE(IF(NewIEPDs3&gt;0,E62*'4.0 Activities'!P46,0))</f>
        <v>0</v>
      </c>
      <c r="H62" s="199">
        <f t="shared" si="3"/>
        <v>56892.600000000006</v>
      </c>
    </row>
    <row r="63" spans="2:8" x14ac:dyDescent="0.2">
      <c r="B63" s="52"/>
      <c r="C63" s="53">
        <v>9.4</v>
      </c>
      <c r="D63" s="54" t="s">
        <v>185</v>
      </c>
      <c r="E63" s="300">
        <f>'5.3 YR2'!E63</f>
        <v>15171.36</v>
      </c>
      <c r="F63" s="250">
        <f>VALUE(IF(NewConsumers3&gt;0,E63*'4.0 Activities'!O47,))</f>
        <v>7585.68</v>
      </c>
      <c r="G63" s="250">
        <f>VALUE(IF(NewIEPDs3&gt;0,E63*'4.0 Activities'!P47,0))</f>
        <v>0</v>
      </c>
      <c r="H63" s="199">
        <f t="shared" si="3"/>
        <v>37928.400000000001</v>
      </c>
    </row>
    <row r="64" spans="2:8" x14ac:dyDescent="0.2">
      <c r="B64" s="52"/>
      <c r="C64" s="53">
        <v>9.5</v>
      </c>
      <c r="D64" s="54" t="s">
        <v>239</v>
      </c>
      <c r="E64" s="300">
        <f>'5.3 YR2'!E64</f>
        <v>15171.36</v>
      </c>
      <c r="F64" s="250">
        <f>VALUE(IF(NewConsumers3&gt;0,E64*'4.0 Activities'!O48,))</f>
        <v>7585.68</v>
      </c>
      <c r="G64" s="250">
        <f>VALUE(IF(NewIEPDs3&gt;0,E64*'4.0 Activities'!P48,0))</f>
        <v>0</v>
      </c>
      <c r="H64" s="199">
        <f t="shared" si="3"/>
        <v>37928.400000000001</v>
      </c>
    </row>
    <row r="65" spans="2:8" x14ac:dyDescent="0.2">
      <c r="B65" s="52"/>
      <c r="C65" s="55">
        <v>9.6</v>
      </c>
      <c r="D65" s="56" t="s">
        <v>240</v>
      </c>
      <c r="E65" s="301">
        <f>'5.3 YR2'!E65</f>
        <v>19171.36</v>
      </c>
      <c r="F65" s="251">
        <f>VALUE(IF(NewConsumers3&gt;0,E65*'4.0 Activities'!O49,))</f>
        <v>9585.68</v>
      </c>
      <c r="G65" s="251">
        <f>VALUE(IF(NewIEPDs3&gt;0,E65*'4.0 Activities'!P49,0))</f>
        <v>0</v>
      </c>
      <c r="H65" s="200">
        <f t="shared" si="3"/>
        <v>47928.4</v>
      </c>
    </row>
    <row r="66" spans="2:8" ht="13.5" thickBot="1" x14ac:dyDescent="0.25">
      <c r="B66" s="52"/>
      <c r="C66" s="241"/>
      <c r="D66" s="237" t="s">
        <v>257</v>
      </c>
      <c r="E66" s="302">
        <f>SUM(E60:E65)</f>
        <v>95028.160000000003</v>
      </c>
      <c r="F66" s="252">
        <f>SUM(F60:F65)</f>
        <v>58892.6</v>
      </c>
      <c r="G66" s="252">
        <f>SUM(G60:G65)</f>
        <v>0</v>
      </c>
      <c r="H66" s="307">
        <f>SUM(H60:H65)</f>
        <v>294463</v>
      </c>
    </row>
    <row r="67" spans="2:8" x14ac:dyDescent="0.2">
      <c r="B67" s="52"/>
      <c r="C67" s="239"/>
      <c r="D67" s="203"/>
      <c r="E67" s="253"/>
      <c r="F67" s="253"/>
      <c r="G67" s="253"/>
      <c r="H67" s="308"/>
    </row>
    <row r="68" spans="2:8" x14ac:dyDescent="0.2">
      <c r="B68" s="233">
        <v>10</v>
      </c>
      <c r="C68" s="234" t="s">
        <v>179</v>
      </c>
      <c r="D68" s="50"/>
      <c r="E68" s="257"/>
      <c r="F68" s="257"/>
      <c r="G68" s="257"/>
      <c r="H68" s="60"/>
    </row>
    <row r="69" spans="2:8" x14ac:dyDescent="0.2">
      <c r="B69" s="52"/>
      <c r="C69" s="53">
        <v>10.1</v>
      </c>
      <c r="D69" s="54" t="s">
        <v>180</v>
      </c>
      <c r="E69" s="300">
        <f>'5.3 YR2'!E69</f>
        <v>8522.4</v>
      </c>
      <c r="F69" s="250">
        <f>VALUE(IF(NewConsumers3&gt;0,E69*'4.0 Activities'!O51,))</f>
        <v>0</v>
      </c>
      <c r="G69" s="250">
        <f>VALUE(IF(NewIEPDs3&gt;0,E69*'4.0 Activities'!P51,0))</f>
        <v>0</v>
      </c>
      <c r="H69" s="199">
        <f>F69*NewConsumers3+G69*NewIEPDs3</f>
        <v>0</v>
      </c>
    </row>
    <row r="70" spans="2:8" x14ac:dyDescent="0.2">
      <c r="B70" s="52"/>
      <c r="C70" s="53">
        <v>10.199999999999999</v>
      </c>
      <c r="D70" s="54" t="s">
        <v>181</v>
      </c>
      <c r="E70" s="300">
        <f>'5.3 YR2'!E70</f>
        <v>8522.4</v>
      </c>
      <c r="F70" s="250">
        <f>VALUE(IF(NewConsumers3&gt;0,E70*'4.0 Activities'!O52,))</f>
        <v>0</v>
      </c>
      <c r="G70" s="250">
        <f>VALUE(IF(NewIEPDs3&gt;0,E70*'4.0 Activities'!P52,0))</f>
        <v>0</v>
      </c>
      <c r="H70" s="199">
        <f>F70*NewConsumers3+G70*NewIEPDs3</f>
        <v>0</v>
      </c>
    </row>
    <row r="71" spans="2:8" x14ac:dyDescent="0.2">
      <c r="B71" s="52"/>
      <c r="C71" s="55">
        <v>10.3</v>
      </c>
      <c r="D71" s="56" t="s">
        <v>182</v>
      </c>
      <c r="E71" s="301">
        <f>'5.3 YR2'!E71</f>
        <v>8522.4</v>
      </c>
      <c r="F71" s="251">
        <f>VALUE(IF(NewConsumers3&gt;0,E71*'4.0 Activities'!O53,))</f>
        <v>0</v>
      </c>
      <c r="G71" s="251">
        <f>VALUE(IF(NewIEPDs3&gt;0,E71*'4.0 Activities'!P53,0))</f>
        <v>0</v>
      </c>
      <c r="H71" s="200">
        <f>F71*NewConsumers3+G71*NewIEPDs3</f>
        <v>0</v>
      </c>
    </row>
    <row r="72" spans="2:8" ht="13.5" thickBot="1" x14ac:dyDescent="0.25">
      <c r="B72" s="52"/>
      <c r="C72" s="241"/>
      <c r="D72" s="237" t="s">
        <v>257</v>
      </c>
      <c r="E72" s="302">
        <f>SUM(E69:E71)</f>
        <v>25567.199999999997</v>
      </c>
      <c r="F72" s="252">
        <f>SUM(F69:F71)</f>
        <v>0</v>
      </c>
      <c r="G72" s="252">
        <f>SUM(G69:G71)</f>
        <v>0</v>
      </c>
      <c r="H72" s="238">
        <f>SUM(H69:H71)</f>
        <v>0</v>
      </c>
    </row>
    <row r="73" spans="2:8" x14ac:dyDescent="0.2">
      <c r="B73" s="52"/>
      <c r="C73" s="239"/>
      <c r="D73" s="203"/>
      <c r="E73" s="253"/>
      <c r="F73" s="253"/>
      <c r="G73" s="253"/>
      <c r="H73" s="204"/>
    </row>
    <row r="74" spans="2:8" ht="13.5" thickBot="1" x14ac:dyDescent="0.25">
      <c r="B74" s="274" t="s">
        <v>298</v>
      </c>
      <c r="C74" s="276"/>
      <c r="D74" s="275"/>
      <c r="E74" s="304">
        <f>SUM($E$14,$E$19,$E$24,$E$33,$E$38,$E$42,$E$51,$E$57,$E$66,$E$72)</f>
        <v>684776.08000000007</v>
      </c>
      <c r="F74" s="277">
        <f>SUM($F$14,$F$19,$F$24,$F$33,$F$38,$F$42,$F$51,$F$57,$F$66,$F$72)</f>
        <v>171125.54</v>
      </c>
      <c r="G74" s="277">
        <f>SUM($G$14,$G$19,$G$24,$G$33,$G$38,$G$42,$G$51,$G$57,$G$66,$G$72)</f>
        <v>0</v>
      </c>
      <c r="H74" s="309">
        <f>SUM($H$14,$H$19,$H$24,$H$33,$H$38,$H$42,$H$51,$H$57,$H$66,$H$72)</f>
        <v>855627.70000000007</v>
      </c>
    </row>
    <row r="75" spans="2:8" ht="14.25" thickTop="1" thickBot="1" x14ac:dyDescent="0.25">
      <c r="B75" s="65"/>
      <c r="C75" s="61"/>
      <c r="D75" s="62"/>
      <c r="E75" s="298"/>
      <c r="F75" s="298"/>
      <c r="G75" s="298"/>
      <c r="H75" s="299"/>
    </row>
    <row r="76" spans="2:8" ht="13.5" thickBot="1" x14ac:dyDescent="0.25">
      <c r="C76" s="53"/>
      <c r="D76" s="203"/>
      <c r="E76" s="316"/>
      <c r="F76" s="316"/>
      <c r="G76" s="316"/>
      <c r="H76" s="316"/>
    </row>
    <row r="77" spans="2:8" x14ac:dyDescent="0.2">
      <c r="B77" s="46" t="s">
        <v>196</v>
      </c>
      <c r="C77" s="63"/>
      <c r="D77" s="47"/>
      <c r="E77" s="310"/>
      <c r="F77" s="258"/>
      <c r="G77" s="258"/>
      <c r="H77" s="283"/>
    </row>
    <row r="78" spans="2:8" x14ac:dyDescent="0.2">
      <c r="B78" s="64"/>
      <c r="C78" s="53"/>
      <c r="D78" s="54" t="str">
        <f>'3.0 Cost Variables'!B23</f>
        <v>Hardware Cost</v>
      </c>
      <c r="E78" s="300">
        <f>'5.2 YR1'!E78</f>
        <v>0</v>
      </c>
      <c r="F78" s="250">
        <f>'3.0 Cost Variables'!F23</f>
        <v>0</v>
      </c>
      <c r="G78" s="250">
        <v>0</v>
      </c>
      <c r="H78" s="265">
        <f>SUM(F78:G78)</f>
        <v>0</v>
      </c>
    </row>
    <row r="79" spans="2:8" x14ac:dyDescent="0.2">
      <c r="B79" s="64"/>
      <c r="C79" s="53"/>
      <c r="D79" s="54" t="str">
        <f>'3.0 Cost Variables'!B24</f>
        <v>Software Cost</v>
      </c>
      <c r="E79" s="300">
        <f>'5.2 YR1'!E79</f>
        <v>0</v>
      </c>
      <c r="F79" s="250">
        <f>'3.0 Cost Variables'!F24</f>
        <v>0</v>
      </c>
      <c r="G79" s="250">
        <v>0</v>
      </c>
      <c r="H79" s="265">
        <f>SUM(F79:G79)</f>
        <v>0</v>
      </c>
    </row>
    <row r="80" spans="2:8" x14ac:dyDescent="0.2">
      <c r="B80" s="64"/>
      <c r="C80" s="55"/>
      <c r="D80" s="56" t="s">
        <v>117</v>
      </c>
      <c r="E80" s="301">
        <f>'5.2 YR1'!E80</f>
        <v>6700</v>
      </c>
      <c r="F80" s="251">
        <f>Training2</f>
        <v>5000</v>
      </c>
      <c r="G80" s="251">
        <v>0</v>
      </c>
      <c r="H80" s="266">
        <f>SUM(F80:G80)</f>
        <v>5000</v>
      </c>
    </row>
    <row r="81" spans="2:8" ht="13.5" thickBot="1" x14ac:dyDescent="0.25">
      <c r="B81" s="279"/>
      <c r="C81" s="280"/>
      <c r="D81" s="237" t="s">
        <v>257</v>
      </c>
      <c r="E81" s="302">
        <f>SUM(E78:E80)</f>
        <v>6700</v>
      </c>
      <c r="F81" s="252">
        <f>SUM(F78:F80)</f>
        <v>5000</v>
      </c>
      <c r="G81" s="252">
        <f>SUM(G78:G80)</f>
        <v>0</v>
      </c>
      <c r="H81" s="238">
        <f>SUM(H78:H80)</f>
        <v>5000</v>
      </c>
    </row>
    <row r="82" spans="2:8" ht="13.5" thickBot="1" x14ac:dyDescent="0.25">
      <c r="B82" s="284"/>
      <c r="C82" s="281"/>
      <c r="D82" s="62"/>
      <c r="E82" s="286"/>
      <c r="F82" s="285"/>
      <c r="G82" s="286"/>
      <c r="H82" s="287"/>
    </row>
    <row r="83" spans="2:8" ht="13.5" thickBot="1" x14ac:dyDescent="0.25">
      <c r="E83" s="315"/>
      <c r="F83" s="315"/>
      <c r="G83" s="315"/>
      <c r="H83" s="315"/>
    </row>
    <row r="84" spans="2:8" x14ac:dyDescent="0.2">
      <c r="B84" s="46" t="s">
        <v>108</v>
      </c>
      <c r="C84" s="47"/>
      <c r="D84" s="48"/>
      <c r="E84" s="312"/>
      <c r="F84" s="248"/>
      <c r="G84" s="248"/>
      <c r="H84" s="263"/>
    </row>
    <row r="85" spans="2:8" x14ac:dyDescent="0.2">
      <c r="B85" s="52"/>
      <c r="D85" s="54" t="str">
        <f>IF(ExistingIEPD= "YES", "There is an existing IEPD","There is not and existing IEPD")</f>
        <v>There is not and existing IEPD</v>
      </c>
      <c r="E85" s="300">
        <f>VALUE(IF(ExistingIEPD="YES",SUM(E18,E22,E27:E28,E30)*-1,0))</f>
        <v>0</v>
      </c>
      <c r="F85" s="250">
        <f>VALUE(IF(ExistingIEPD="YES",SUM(F18,F22,F27:F28,F30)*-1,0))</f>
        <v>0</v>
      </c>
      <c r="G85" s="250">
        <f>VALUE(IF(ExistingIEPD="YES",SUM(G18,G22,G27:G28,G30)*-1,0))</f>
        <v>0</v>
      </c>
      <c r="H85" s="265">
        <f>SUM(F85:G85)</f>
        <v>0</v>
      </c>
    </row>
    <row r="86" spans="2:8" x14ac:dyDescent="0.2">
      <c r="B86" s="52"/>
      <c r="D86" s="74" t="str">
        <f xml:space="preserve"> "Adjustment because " &amp; Overlap</f>
        <v>Adjustment because Some (&lt;50%) Elements Already Exist in NIEM</v>
      </c>
      <c r="E86" s="300">
        <f>VLOOKUP(Overlap,'2.0 Exchange Variables'!$A$18:$B$21,2,FALSE)*(E29+E23)</f>
        <v>-8941.0400000000009</v>
      </c>
      <c r="F86" s="250">
        <f>VLOOKUP(Overlap,'2.0 Exchange Variables'!$A$18:$B$21,2,FALSE)*(F29+F23)</f>
        <v>-2235.2600000000002</v>
      </c>
      <c r="G86" s="250">
        <f>VLOOKUP(Overlap,'2.0 Exchange Variables'!$A$18:$B$21,2,FALSE)*(G29+G23)</f>
        <v>0</v>
      </c>
      <c r="H86" s="265">
        <f t="shared" ref="H86:H87" si="4">SUM(F86:G86)</f>
        <v>-2235.2600000000002</v>
      </c>
    </row>
    <row r="87" spans="2:8" x14ac:dyDescent="0.2">
      <c r="B87" s="52"/>
      <c r="C87" s="56"/>
      <c r="D87" s="66" t="s">
        <v>265</v>
      </c>
      <c r="E87" s="301">
        <f>IF((E74+E81)&gt;0,('3.0 Cost Variables'!C37)*-1,0)</f>
        <v>0</v>
      </c>
      <c r="F87" s="251">
        <f>IF((F74+F81)&gt;0,(VALUE(IF(NewConsumers&gt;0,E87*NewConsumers,))),0)</f>
        <v>0</v>
      </c>
      <c r="G87" s="251">
        <f>IF((G74+G81)&gt;0,(VALUE(IF(NewIEPDs&gt;0,E87*NewIEPDs,0))),0)</f>
        <v>0</v>
      </c>
      <c r="H87" s="266">
        <f t="shared" si="4"/>
        <v>0</v>
      </c>
    </row>
    <row r="88" spans="2:8" ht="13.5" thickBot="1" x14ac:dyDescent="0.25">
      <c r="B88" s="279"/>
      <c r="C88" s="280"/>
      <c r="D88" s="237" t="s">
        <v>257</v>
      </c>
      <c r="E88" s="311">
        <f>SUM(E85:E87)</f>
        <v>-8941.0400000000009</v>
      </c>
      <c r="F88" s="282">
        <f t="shared" ref="F88:H88" si="5">SUM(F85:F87)</f>
        <v>-2235.2600000000002</v>
      </c>
      <c r="G88" s="262">
        <f t="shared" si="5"/>
        <v>0</v>
      </c>
      <c r="H88" s="272">
        <f t="shared" si="5"/>
        <v>-2235.2600000000002</v>
      </c>
    </row>
    <row r="89" spans="2:8" ht="13.5" thickBot="1" x14ac:dyDescent="0.25">
      <c r="B89" s="284"/>
      <c r="C89" s="281"/>
      <c r="D89" s="291"/>
      <c r="E89" s="292"/>
      <c r="F89" s="288"/>
      <c r="G89" s="289"/>
      <c r="H89" s="290"/>
    </row>
    <row r="90" spans="2:8" ht="13.5" thickBot="1" x14ac:dyDescent="0.25"/>
    <row r="91" spans="2:8" ht="13.5" thickBot="1" x14ac:dyDescent="0.25">
      <c r="B91" s="67" t="s">
        <v>119</v>
      </c>
      <c r="C91" s="68"/>
      <c r="D91" s="68"/>
      <c r="E91" s="313">
        <f>E74+E81+E88</f>
        <v>682535.04</v>
      </c>
      <c r="F91" s="69">
        <f t="shared" ref="F91:H91" si="6">F74+F81+F88</f>
        <v>173890.28</v>
      </c>
      <c r="G91" s="246">
        <f t="shared" si="6"/>
        <v>0</v>
      </c>
      <c r="H91" s="70">
        <f t="shared" si="6"/>
        <v>858392.44000000006</v>
      </c>
    </row>
  </sheetData>
  <mergeCells count="4">
    <mergeCell ref="A1:XFD1"/>
    <mergeCell ref="A7:C7"/>
    <mergeCell ref="E7:H7"/>
    <mergeCell ref="A5:D5"/>
  </mergeCells>
  <hyperlinks>
    <hyperlink ref="A5" location="Overview!A1" display="Overview"/>
  </hyperlinks>
  <pageMargins left="0.5" right="0.5" top="1" bottom="1" header="0.5" footer="0.5"/>
  <pageSetup paperSize="5" scale="74"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CC00"/>
  </sheetPr>
  <dimension ref="A1:Q30"/>
  <sheetViews>
    <sheetView showGridLines="0" zoomScale="85" zoomScaleNormal="85" zoomScalePageLayoutView="85" workbookViewId="0">
      <selection activeCell="C12" sqref="C12"/>
    </sheetView>
  </sheetViews>
  <sheetFormatPr defaultColWidth="8.85546875" defaultRowHeight="12.75" outlineLevelRow="1" x14ac:dyDescent="0.2"/>
  <cols>
    <col min="1" max="1" width="10.85546875" style="92" customWidth="1"/>
    <col min="2" max="2" width="39.140625" style="92" customWidth="1"/>
    <col min="3" max="3" width="16" style="92" customWidth="1"/>
    <col min="4" max="4" width="21.7109375" style="92" bestFit="1" customWidth="1"/>
    <col min="5" max="5" width="23.140625" style="92" customWidth="1"/>
    <col min="6" max="6" width="19" style="92" customWidth="1"/>
    <col min="7" max="7" width="16.42578125" style="92" customWidth="1"/>
    <col min="8" max="9" width="16.7109375" style="92" customWidth="1"/>
    <col min="10" max="11" width="16" style="92" customWidth="1"/>
    <col min="12" max="16384" width="8.85546875" style="92"/>
  </cols>
  <sheetData>
    <row r="1" spans="1:17" s="88" customFormat="1" ht="21.75" thickBot="1" x14ac:dyDescent="0.4">
      <c r="A1" s="461" t="s">
        <v>230</v>
      </c>
      <c r="B1" s="461"/>
      <c r="C1" s="461"/>
      <c r="D1" s="461"/>
      <c r="E1" s="461"/>
      <c r="F1" s="461"/>
      <c r="Q1" s="89"/>
    </row>
    <row r="2" spans="1:17" ht="13.5" thickBot="1" x14ac:dyDescent="0.25">
      <c r="A2" s="90" t="s">
        <v>193</v>
      </c>
      <c r="B2" s="91" t="s">
        <v>194</v>
      </c>
      <c r="C2" s="91"/>
    </row>
    <row r="3" spans="1:17" ht="13.5" hidden="1" thickBot="1" x14ac:dyDescent="0.25">
      <c r="A3" s="90" t="s">
        <v>189</v>
      </c>
      <c r="B3" s="91" t="s">
        <v>195</v>
      </c>
      <c r="C3" s="91"/>
    </row>
    <row r="5" spans="1:17" ht="15.75" customHeight="1" x14ac:dyDescent="0.2">
      <c r="B5" s="478" t="s">
        <v>203</v>
      </c>
      <c r="C5" s="478"/>
      <c r="D5" s="478"/>
      <c r="E5" s="478"/>
      <c r="F5" s="478"/>
      <c r="G5" s="478"/>
      <c r="H5" s="478"/>
      <c r="I5" s="478"/>
      <c r="J5" s="478"/>
      <c r="K5" s="478"/>
    </row>
    <row r="6" spans="1:17" ht="15.75" customHeight="1" x14ac:dyDescent="0.2">
      <c r="B6" s="479" t="s">
        <v>204</v>
      </c>
      <c r="C6" s="479"/>
      <c r="D6" s="479" t="s">
        <v>192</v>
      </c>
      <c r="E6" s="479" t="s">
        <v>211</v>
      </c>
      <c r="F6" s="479" t="s">
        <v>214</v>
      </c>
      <c r="G6" s="479"/>
      <c r="H6" s="479"/>
      <c r="I6" s="479"/>
      <c r="J6" s="479"/>
      <c r="K6" s="479"/>
    </row>
    <row r="7" spans="1:17" ht="15.75" customHeight="1" x14ac:dyDescent="0.2">
      <c r="B7" s="479"/>
      <c r="C7" s="479"/>
      <c r="D7" s="479"/>
      <c r="E7" s="479"/>
      <c r="F7" s="93" t="s">
        <v>205</v>
      </c>
      <c r="G7" s="93" t="s">
        <v>206</v>
      </c>
      <c r="H7" s="93" t="s">
        <v>207</v>
      </c>
      <c r="I7" s="93" t="s">
        <v>208</v>
      </c>
      <c r="J7" s="93" t="s">
        <v>212</v>
      </c>
      <c r="K7" s="93" t="s">
        <v>213</v>
      </c>
    </row>
    <row r="8" spans="1:17" x14ac:dyDescent="0.2">
      <c r="B8" s="476" t="s">
        <v>191</v>
      </c>
      <c r="C8" s="476"/>
      <c r="D8" s="72">
        <v>1</v>
      </c>
      <c r="E8" s="72">
        <v>2</v>
      </c>
      <c r="F8" s="73">
        <v>0</v>
      </c>
      <c r="G8" s="73">
        <v>0</v>
      </c>
      <c r="H8" s="73">
        <v>0</v>
      </c>
      <c r="I8" s="73">
        <v>0</v>
      </c>
      <c r="J8" s="73">
        <v>0</v>
      </c>
      <c r="K8" s="73">
        <v>0</v>
      </c>
    </row>
    <row r="9" spans="1:17" x14ac:dyDescent="0.2">
      <c r="B9" s="477" t="s">
        <v>200</v>
      </c>
      <c r="C9" s="477"/>
      <c r="D9" s="72">
        <v>1</v>
      </c>
      <c r="E9" s="72">
        <v>2</v>
      </c>
      <c r="F9" s="73">
        <v>0</v>
      </c>
      <c r="G9" s="73">
        <v>0</v>
      </c>
      <c r="H9" s="73">
        <v>0</v>
      </c>
      <c r="I9" s="73">
        <v>0</v>
      </c>
      <c r="J9" s="73">
        <v>0</v>
      </c>
      <c r="K9" s="73">
        <v>0</v>
      </c>
    </row>
    <row r="10" spans="1:17" x14ac:dyDescent="0.2">
      <c r="B10" s="476" t="s">
        <v>201</v>
      </c>
      <c r="C10" s="476"/>
      <c r="D10" s="72">
        <v>30</v>
      </c>
      <c r="E10" s="72">
        <v>25</v>
      </c>
      <c r="F10" s="73">
        <v>0</v>
      </c>
      <c r="G10" s="73">
        <v>0</v>
      </c>
      <c r="H10" s="73">
        <v>0</v>
      </c>
      <c r="I10" s="73">
        <v>0</v>
      </c>
      <c r="J10" s="73">
        <v>0</v>
      </c>
      <c r="K10" s="73">
        <v>0</v>
      </c>
    </row>
    <row r="11" spans="1:17" x14ac:dyDescent="0.2">
      <c r="B11" s="476" t="s">
        <v>202</v>
      </c>
      <c r="C11" s="75" t="s">
        <v>209</v>
      </c>
      <c r="D11" s="72">
        <v>2</v>
      </c>
      <c r="E11" s="72">
        <v>0</v>
      </c>
      <c r="F11" s="73">
        <v>0</v>
      </c>
      <c r="G11" s="73">
        <v>0</v>
      </c>
      <c r="H11" s="73">
        <v>0</v>
      </c>
      <c r="I11" s="73">
        <v>0</v>
      </c>
      <c r="J11" s="73">
        <v>0</v>
      </c>
      <c r="K11" s="73">
        <v>0</v>
      </c>
    </row>
    <row r="12" spans="1:17" x14ac:dyDescent="0.2">
      <c r="B12" s="476"/>
      <c r="C12" s="75" t="s">
        <v>210</v>
      </c>
      <c r="D12" s="72">
        <v>2</v>
      </c>
      <c r="E12" s="72">
        <v>4</v>
      </c>
      <c r="F12" s="73">
        <v>0</v>
      </c>
      <c r="G12" s="73">
        <v>0</v>
      </c>
      <c r="H12" s="73">
        <v>0</v>
      </c>
      <c r="I12" s="73">
        <v>0</v>
      </c>
      <c r="J12" s="73">
        <v>0</v>
      </c>
      <c r="K12" s="73">
        <v>0</v>
      </c>
    </row>
    <row r="13" spans="1:17" x14ac:dyDescent="0.2">
      <c r="B13" s="87"/>
      <c r="C13" s="76"/>
      <c r="D13" s="72"/>
      <c r="E13" s="72"/>
      <c r="F13" s="73"/>
      <c r="G13" s="73"/>
      <c r="H13" s="73"/>
      <c r="I13" s="73"/>
      <c r="J13" s="73"/>
      <c r="K13" s="73"/>
    </row>
    <row r="14" spans="1:17" x14ac:dyDescent="0.2">
      <c r="B14" s="87"/>
      <c r="C14" s="76"/>
      <c r="D14" s="72"/>
      <c r="E14" s="72"/>
      <c r="F14" s="73"/>
      <c r="G14" s="73"/>
      <c r="H14" s="73"/>
      <c r="I14" s="73"/>
      <c r="J14" s="73"/>
      <c r="K14" s="73"/>
    </row>
    <row r="15" spans="1:17" x14ac:dyDescent="0.2">
      <c r="B15" s="87"/>
      <c r="C15" s="76"/>
      <c r="D15" s="72"/>
      <c r="E15" s="72"/>
      <c r="F15" s="73"/>
      <c r="G15" s="73"/>
      <c r="H15" s="73"/>
      <c r="I15" s="73"/>
      <c r="J15" s="73"/>
      <c r="K15" s="73"/>
    </row>
    <row r="16" spans="1:17" x14ac:dyDescent="0.2">
      <c r="B16" s="87"/>
      <c r="C16" s="76"/>
      <c r="D16" s="72"/>
      <c r="E16" s="72"/>
      <c r="F16" s="73"/>
      <c r="G16" s="73"/>
      <c r="H16" s="73"/>
      <c r="I16" s="73"/>
      <c r="J16" s="73"/>
      <c r="K16" s="73"/>
    </row>
    <row r="17" spans="2:11" x14ac:dyDescent="0.2">
      <c r="B17" s="474"/>
      <c r="C17" s="475"/>
      <c r="D17" s="72"/>
      <c r="E17" s="72"/>
      <c r="F17" s="73"/>
      <c r="G17" s="73"/>
      <c r="H17" s="73"/>
      <c r="I17" s="73"/>
      <c r="J17" s="73"/>
      <c r="K17" s="73"/>
    </row>
    <row r="18" spans="2:11" ht="12.75" customHeight="1" x14ac:dyDescent="0.2"/>
    <row r="19" spans="2:11" ht="15.75" hidden="1" outlineLevel="1" thickBot="1" x14ac:dyDescent="0.3">
      <c r="B19" s="94" t="s">
        <v>1</v>
      </c>
      <c r="C19" s="468" t="s">
        <v>2</v>
      </c>
      <c r="D19" s="469"/>
      <c r="E19" s="470"/>
      <c r="F19" s="95" t="s">
        <v>3</v>
      </c>
    </row>
    <row r="20" spans="2:11" ht="75" hidden="1" customHeight="1" outlineLevel="1" x14ac:dyDescent="0.2">
      <c r="B20" s="96" t="s">
        <v>9</v>
      </c>
      <c r="C20" s="471" t="s">
        <v>6</v>
      </c>
      <c r="D20" s="472"/>
      <c r="E20" s="473"/>
      <c r="F20" s="97" t="s">
        <v>190</v>
      </c>
    </row>
    <row r="21" spans="2:11" ht="60" hidden="1" customHeight="1" outlineLevel="1" x14ac:dyDescent="0.2">
      <c r="B21" s="98" t="s">
        <v>10</v>
      </c>
      <c r="C21" s="462" t="s">
        <v>5</v>
      </c>
      <c r="D21" s="463"/>
      <c r="E21" s="464"/>
      <c r="F21" s="99" t="s">
        <v>249</v>
      </c>
    </row>
    <row r="22" spans="2:11" ht="45" hidden="1" customHeight="1" outlineLevel="1" x14ac:dyDescent="0.2">
      <c r="B22" s="98" t="s">
        <v>7</v>
      </c>
      <c r="C22" s="462" t="s">
        <v>4</v>
      </c>
      <c r="D22" s="463"/>
      <c r="E22" s="464"/>
      <c r="F22" s="100" t="s">
        <v>58</v>
      </c>
    </row>
    <row r="23" spans="2:11" ht="45" hidden="1" customHeight="1" outlineLevel="1" x14ac:dyDescent="0.2">
      <c r="B23" s="98" t="s">
        <v>250</v>
      </c>
      <c r="C23" s="462" t="s">
        <v>251</v>
      </c>
      <c r="D23" s="463"/>
      <c r="E23" s="464"/>
      <c r="F23" s="99" t="s">
        <v>248</v>
      </c>
    </row>
    <row r="24" spans="2:11" ht="45" hidden="1" customHeight="1" outlineLevel="1" x14ac:dyDescent="0.2">
      <c r="B24" s="98" t="s">
        <v>8</v>
      </c>
      <c r="C24" s="462" t="s">
        <v>252</v>
      </c>
      <c r="D24" s="463"/>
      <c r="E24" s="464"/>
      <c r="F24" s="100" t="s">
        <v>44</v>
      </c>
    </row>
    <row r="25" spans="2:11" ht="45" hidden="1" customHeight="1" outlineLevel="1" x14ac:dyDescent="0.2">
      <c r="B25" s="101" t="s">
        <v>56</v>
      </c>
      <c r="C25" s="462" t="s">
        <v>57</v>
      </c>
      <c r="D25" s="463"/>
      <c r="E25" s="464"/>
      <c r="F25" s="102" t="s">
        <v>59</v>
      </c>
    </row>
    <row r="26" spans="2:11" ht="15" hidden="1" outlineLevel="1" x14ac:dyDescent="0.2">
      <c r="B26" s="103">
        <v>7</v>
      </c>
      <c r="C26" s="465"/>
      <c r="D26" s="466"/>
      <c r="E26" s="467"/>
      <c r="F26" s="100"/>
    </row>
    <row r="27" spans="2:11" ht="15" hidden="1" outlineLevel="1" x14ac:dyDescent="0.2">
      <c r="B27" s="104">
        <v>8</v>
      </c>
      <c r="C27" s="465"/>
      <c r="D27" s="466"/>
      <c r="E27" s="467"/>
      <c r="F27" s="100"/>
    </row>
    <row r="28" spans="2:11" ht="15" hidden="1" outlineLevel="1" x14ac:dyDescent="0.2">
      <c r="B28" s="104">
        <v>9</v>
      </c>
      <c r="C28" s="465"/>
      <c r="D28" s="466"/>
      <c r="E28" s="467"/>
      <c r="F28" s="100"/>
    </row>
    <row r="29" spans="2:11" ht="15.75" hidden="1" outlineLevel="1" thickBot="1" x14ac:dyDescent="0.25">
      <c r="B29" s="105">
        <v>10</v>
      </c>
      <c r="C29" s="458"/>
      <c r="D29" s="459"/>
      <c r="E29" s="460"/>
      <c r="F29" s="106"/>
    </row>
    <row r="30" spans="2:11" collapsed="1" x14ac:dyDescent="0.2"/>
  </sheetData>
  <mergeCells count="22">
    <mergeCell ref="B11:B12"/>
    <mergeCell ref="B5:K5"/>
    <mergeCell ref="D6:D7"/>
    <mergeCell ref="B6:C7"/>
    <mergeCell ref="E6:E7"/>
    <mergeCell ref="F6:K6"/>
    <mergeCell ref="C29:E29"/>
    <mergeCell ref="A1:F1"/>
    <mergeCell ref="C24:E24"/>
    <mergeCell ref="C25:E25"/>
    <mergeCell ref="C26:E26"/>
    <mergeCell ref="C27:E27"/>
    <mergeCell ref="C28:E28"/>
    <mergeCell ref="C19:E19"/>
    <mergeCell ref="C20:E20"/>
    <mergeCell ref="C21:E21"/>
    <mergeCell ref="C22:E22"/>
    <mergeCell ref="C23:E23"/>
    <mergeCell ref="B17:C17"/>
    <mergeCell ref="B8:C8"/>
    <mergeCell ref="B9:C9"/>
    <mergeCell ref="B10:C10"/>
  </mergeCells>
  <hyperlinks>
    <hyperlink ref="A2" location="Overview!A1" display="Overview"/>
    <hyperlink ref="A3" location="'0.0 Dashboard'!A1" display="Dashboard"/>
  </hyperlink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FFC000"/>
  </sheetPr>
  <dimension ref="A1:R59"/>
  <sheetViews>
    <sheetView showGridLines="0" zoomScale="85" zoomScaleNormal="85" zoomScalePageLayoutView="85" workbookViewId="0"/>
  </sheetViews>
  <sheetFormatPr defaultColWidth="8.85546875" defaultRowHeight="12.75" x14ac:dyDescent="0.2"/>
  <cols>
    <col min="1" max="1" width="4.85546875" style="43" customWidth="1"/>
    <col min="2" max="2" width="19.28515625" style="43" bestFit="1" customWidth="1"/>
    <col min="3" max="3" width="49.85546875" style="43" customWidth="1"/>
    <col min="4" max="4" width="18.140625" style="43" bestFit="1" customWidth="1"/>
    <col min="5" max="5" width="48.7109375" style="43" customWidth="1"/>
    <col min="6" max="16384" width="8.85546875" style="43"/>
  </cols>
  <sheetData>
    <row r="1" spans="1:18" s="2" customFormat="1" ht="21.75" thickBot="1" x14ac:dyDescent="0.4">
      <c r="A1" s="2" t="s">
        <v>188</v>
      </c>
      <c r="R1" s="3"/>
    </row>
    <row r="2" spans="1:18" ht="13.5" thickBot="1" x14ac:dyDescent="0.25">
      <c r="A2" s="480" t="s">
        <v>193</v>
      </c>
      <c r="B2" s="481"/>
      <c r="C2" s="45" t="s">
        <v>194</v>
      </c>
    </row>
    <row r="3" spans="1:18" x14ac:dyDescent="0.2">
      <c r="A3" s="45"/>
      <c r="B3" s="45"/>
      <c r="C3" s="45"/>
    </row>
    <row r="4" spans="1:18" x14ac:dyDescent="0.2">
      <c r="B4" s="44" t="s">
        <v>223</v>
      </c>
    </row>
    <row r="30" spans="2:2" x14ac:dyDescent="0.2">
      <c r="B30" s="44"/>
    </row>
    <row r="34" spans="2:2" x14ac:dyDescent="0.2">
      <c r="B34" s="44" t="s">
        <v>224</v>
      </c>
    </row>
    <row r="59" spans="2:2" x14ac:dyDescent="0.2">
      <c r="B59" s="44"/>
    </row>
  </sheetData>
  <mergeCells count="1">
    <mergeCell ref="A2:B2"/>
  </mergeCells>
  <hyperlinks>
    <hyperlink ref="A2" location="Overview!A1" display="Overview"/>
  </hyperlinks>
  <pageMargins left="0.75" right="0.75" top="1" bottom="1" header="0.5" footer="0.5"/>
  <pageSetup orientation="portrait"/>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0" tint="-0.34998626667073579"/>
  </sheetPr>
  <dimension ref="A1:E30"/>
  <sheetViews>
    <sheetView showGridLines="0" zoomScale="85" zoomScaleNormal="85" workbookViewId="0">
      <selection activeCell="C19" sqref="C19:D19"/>
    </sheetView>
  </sheetViews>
  <sheetFormatPr defaultColWidth="8.85546875" defaultRowHeight="12.75" x14ac:dyDescent="0.2"/>
  <cols>
    <col min="1" max="1" width="3.42578125" style="229" customWidth="1"/>
    <col min="2" max="2" width="8.85546875" style="229"/>
    <col min="3" max="3" width="58" style="229" customWidth="1"/>
    <col min="4" max="4" width="49.140625" style="229" customWidth="1"/>
    <col min="5" max="16384" width="8.85546875" style="229"/>
  </cols>
  <sheetData>
    <row r="1" spans="1:5" s="395" customFormat="1" ht="51.75" customHeight="1" x14ac:dyDescent="0.5"/>
    <row r="2" spans="1:5" s="118" customFormat="1" ht="16.5" customHeight="1" x14ac:dyDescent="0.5">
      <c r="A2" s="121" t="s">
        <v>357</v>
      </c>
      <c r="B2" s="120"/>
    </row>
    <row r="3" spans="1:5" s="119" customFormat="1" ht="19.5" customHeight="1" x14ac:dyDescent="0.5">
      <c r="A3" s="122" t="s">
        <v>11</v>
      </c>
    </row>
    <row r="4" spans="1:5" s="296" customFormat="1" ht="9" customHeight="1" x14ac:dyDescent="0.35"/>
    <row r="5" spans="1:5" s="297" customFormat="1" ht="12" customHeight="1" x14ac:dyDescent="0.2">
      <c r="A5" s="411" t="s">
        <v>194</v>
      </c>
      <c r="B5" s="411"/>
      <c r="C5" s="411"/>
      <c r="D5" s="411"/>
    </row>
    <row r="6" spans="1:5" ht="12" customHeight="1" x14ac:dyDescent="0.2"/>
    <row r="7" spans="1:5" x14ac:dyDescent="0.2">
      <c r="B7" s="483" t="s">
        <v>11</v>
      </c>
      <c r="C7" s="484"/>
      <c r="D7" s="484"/>
      <c r="E7" s="485"/>
    </row>
    <row r="8" spans="1:5" x14ac:dyDescent="0.2">
      <c r="B8" s="377"/>
      <c r="C8" s="330"/>
      <c r="D8" s="330"/>
      <c r="E8" s="378"/>
    </row>
    <row r="9" spans="1:5" ht="40.5" customHeight="1" x14ac:dyDescent="0.2">
      <c r="B9" s="379">
        <v>1</v>
      </c>
      <c r="C9" s="482" t="s">
        <v>232</v>
      </c>
      <c r="D9" s="482"/>
      <c r="E9" s="378"/>
    </row>
    <row r="10" spans="1:5" ht="12.75" customHeight="1" x14ac:dyDescent="0.2">
      <c r="B10" s="380"/>
      <c r="C10" s="486"/>
      <c r="D10" s="486"/>
      <c r="E10" s="378"/>
    </row>
    <row r="11" spans="1:5" ht="25.5" customHeight="1" x14ac:dyDescent="0.2">
      <c r="B11" s="379">
        <v>2</v>
      </c>
      <c r="C11" s="482" t="s">
        <v>275</v>
      </c>
      <c r="D11" s="482"/>
      <c r="E11" s="378"/>
    </row>
    <row r="12" spans="1:5" x14ac:dyDescent="0.2">
      <c r="B12" s="379"/>
      <c r="C12" s="482"/>
      <c r="D12" s="482"/>
      <c r="E12" s="378"/>
    </row>
    <row r="13" spans="1:5" ht="26.25" customHeight="1" x14ac:dyDescent="0.2">
      <c r="B13" s="379">
        <v>3</v>
      </c>
      <c r="C13" s="482" t="s">
        <v>276</v>
      </c>
      <c r="D13" s="482"/>
      <c r="E13" s="378"/>
    </row>
    <row r="14" spans="1:5" x14ac:dyDescent="0.2">
      <c r="B14" s="379"/>
      <c r="C14" s="482"/>
      <c r="D14" s="482"/>
      <c r="E14" s="378"/>
    </row>
    <row r="15" spans="1:5" ht="26.25" customHeight="1" x14ac:dyDescent="0.2">
      <c r="B15" s="379">
        <v>4</v>
      </c>
      <c r="C15" s="482" t="s">
        <v>331</v>
      </c>
      <c r="D15" s="482"/>
      <c r="E15" s="378"/>
    </row>
    <row r="16" spans="1:5" x14ac:dyDescent="0.2">
      <c r="B16" s="379"/>
      <c r="C16" s="482"/>
      <c r="D16" s="482"/>
      <c r="E16" s="378"/>
    </row>
    <row r="17" spans="2:5" ht="26.25" customHeight="1" x14ac:dyDescent="0.2">
      <c r="B17" s="379">
        <v>5</v>
      </c>
      <c r="C17" s="482" t="s">
        <v>278</v>
      </c>
      <c r="D17" s="482"/>
      <c r="E17" s="378"/>
    </row>
    <row r="18" spans="2:5" x14ac:dyDescent="0.2">
      <c r="B18" s="379"/>
      <c r="C18" s="482"/>
      <c r="D18" s="482"/>
      <c r="E18" s="378"/>
    </row>
    <row r="19" spans="2:5" ht="27" customHeight="1" x14ac:dyDescent="0.2">
      <c r="B19" s="379">
        <v>6</v>
      </c>
      <c r="C19" s="482" t="s">
        <v>277</v>
      </c>
      <c r="D19" s="482"/>
      <c r="E19" s="378"/>
    </row>
    <row r="20" spans="2:5" x14ac:dyDescent="0.2">
      <c r="B20" s="379"/>
      <c r="C20" s="482"/>
      <c r="D20" s="482"/>
      <c r="E20" s="378"/>
    </row>
    <row r="21" spans="2:5" x14ac:dyDescent="0.2">
      <c r="B21" s="379">
        <v>7</v>
      </c>
      <c r="C21" s="482"/>
      <c r="D21" s="482"/>
      <c r="E21" s="378"/>
    </row>
    <row r="22" spans="2:5" x14ac:dyDescent="0.2">
      <c r="B22" s="379"/>
      <c r="C22" s="482"/>
      <c r="D22" s="482"/>
      <c r="E22" s="378"/>
    </row>
    <row r="23" spans="2:5" x14ac:dyDescent="0.2">
      <c r="B23" s="379">
        <v>8</v>
      </c>
      <c r="C23" s="482"/>
      <c r="D23" s="482"/>
      <c r="E23" s="378"/>
    </row>
    <row r="24" spans="2:5" x14ac:dyDescent="0.2">
      <c r="B24" s="379"/>
      <c r="C24" s="482"/>
      <c r="D24" s="482"/>
      <c r="E24" s="378"/>
    </row>
    <row r="25" spans="2:5" x14ac:dyDescent="0.2">
      <c r="B25" s="379">
        <v>9</v>
      </c>
      <c r="C25" s="482"/>
      <c r="D25" s="482"/>
      <c r="E25" s="378"/>
    </row>
    <row r="26" spans="2:5" x14ac:dyDescent="0.2">
      <c r="B26" s="379"/>
      <c r="C26" s="482"/>
      <c r="D26" s="482"/>
      <c r="E26" s="378"/>
    </row>
    <row r="27" spans="2:5" x14ac:dyDescent="0.2">
      <c r="B27" s="379">
        <v>10</v>
      </c>
      <c r="C27" s="482"/>
      <c r="D27" s="482"/>
      <c r="E27" s="378"/>
    </row>
    <row r="28" spans="2:5" x14ac:dyDescent="0.2">
      <c r="B28" s="379"/>
      <c r="C28" s="482"/>
      <c r="D28" s="482"/>
      <c r="E28" s="378"/>
    </row>
    <row r="29" spans="2:5" x14ac:dyDescent="0.2">
      <c r="B29" s="379">
        <v>11</v>
      </c>
      <c r="C29" s="482"/>
      <c r="D29" s="482"/>
      <c r="E29" s="378"/>
    </row>
    <row r="30" spans="2:5" x14ac:dyDescent="0.2">
      <c r="B30" s="381"/>
      <c r="C30" s="382"/>
      <c r="D30" s="382"/>
      <c r="E30" s="383"/>
    </row>
  </sheetData>
  <mergeCells count="24">
    <mergeCell ref="C9:D9"/>
    <mergeCell ref="C10:D10"/>
    <mergeCell ref="C29:D29"/>
    <mergeCell ref="C21:D21"/>
    <mergeCell ref="C22:D22"/>
    <mergeCell ref="C23:D23"/>
    <mergeCell ref="C24:D24"/>
    <mergeCell ref="C25:D25"/>
    <mergeCell ref="A1:XFD1"/>
    <mergeCell ref="A5:D5"/>
    <mergeCell ref="C26:D26"/>
    <mergeCell ref="C27:D27"/>
    <mergeCell ref="C28:D28"/>
    <mergeCell ref="C16:D16"/>
    <mergeCell ref="C17:D17"/>
    <mergeCell ref="C18:D18"/>
    <mergeCell ref="C19:D19"/>
    <mergeCell ref="C20:D20"/>
    <mergeCell ref="C11:D11"/>
    <mergeCell ref="C12:D12"/>
    <mergeCell ref="C13:D13"/>
    <mergeCell ref="C14:D14"/>
    <mergeCell ref="C15:D15"/>
    <mergeCell ref="B7:E7"/>
  </mergeCells>
  <hyperlinks>
    <hyperlink ref="A5" location="Overview!A1" display="Overview"/>
  </hyperlinks>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FFC000"/>
  </sheetPr>
  <dimension ref="A1:H69"/>
  <sheetViews>
    <sheetView showGridLines="0" workbookViewId="0">
      <selection activeCell="K12" sqref="K12"/>
    </sheetView>
  </sheetViews>
  <sheetFormatPr defaultColWidth="8.85546875" defaultRowHeight="12.75" x14ac:dyDescent="0.2"/>
  <cols>
    <col min="1" max="1" width="3.85546875" style="1" customWidth="1"/>
    <col min="2" max="2" width="27" style="1" bestFit="1" customWidth="1"/>
    <col min="3" max="3" width="13.85546875" style="1" customWidth="1"/>
    <col min="4" max="4" width="8.85546875" style="1"/>
    <col min="5" max="5" width="14" style="1" bestFit="1" customWidth="1"/>
    <col min="6" max="8" width="10.140625" style="1" bestFit="1" customWidth="1"/>
    <col min="9" max="16384" width="8.85546875" style="1"/>
  </cols>
  <sheetData>
    <row r="1" spans="1:8" x14ac:dyDescent="0.2">
      <c r="A1" s="1" t="s">
        <v>139</v>
      </c>
    </row>
    <row r="2" spans="1:8" ht="13.5" thickBot="1" x14ac:dyDescent="0.25"/>
    <row r="3" spans="1:8" ht="35.25" thickBot="1" x14ac:dyDescent="0.25">
      <c r="B3" s="29" t="s">
        <v>157</v>
      </c>
      <c r="C3" s="491" t="s">
        <v>125</v>
      </c>
      <c r="D3" s="492"/>
      <c r="E3" s="491" t="s">
        <v>64</v>
      </c>
      <c r="F3" s="492"/>
      <c r="G3" s="491" t="s">
        <v>65</v>
      </c>
      <c r="H3" s="492"/>
    </row>
    <row r="4" spans="1:8" ht="45.75" thickBot="1" x14ac:dyDescent="0.25">
      <c r="B4" s="5" t="s">
        <v>140</v>
      </c>
      <c r="C4" s="6" t="s">
        <v>112</v>
      </c>
      <c r="D4" s="6" t="s">
        <v>63</v>
      </c>
      <c r="E4" s="6" t="s">
        <v>66</v>
      </c>
      <c r="F4" s="6" t="s">
        <v>67</v>
      </c>
      <c r="G4" s="6" t="s">
        <v>66</v>
      </c>
      <c r="H4" s="6" t="s">
        <v>67</v>
      </c>
    </row>
    <row r="5" spans="1:8" ht="13.5" thickBot="1" x14ac:dyDescent="0.25">
      <c r="B5" s="7" t="s">
        <v>12</v>
      </c>
      <c r="C5" s="8" t="s">
        <v>72</v>
      </c>
      <c r="D5" s="8" t="s">
        <v>72</v>
      </c>
      <c r="E5" s="9">
        <v>0.25</v>
      </c>
      <c r="F5" s="9">
        <v>0.5</v>
      </c>
      <c r="G5" s="9">
        <v>1</v>
      </c>
      <c r="H5" s="9">
        <v>1</v>
      </c>
    </row>
    <row r="6" spans="1:8" ht="13.5" thickBot="1" x14ac:dyDescent="0.25">
      <c r="B6" s="7" t="s">
        <v>13</v>
      </c>
      <c r="C6" s="8" t="s">
        <v>72</v>
      </c>
      <c r="D6" s="8" t="s">
        <v>72</v>
      </c>
      <c r="E6" s="9">
        <v>0</v>
      </c>
      <c r="F6" s="9">
        <v>0.5</v>
      </c>
      <c r="G6" s="9">
        <v>1</v>
      </c>
      <c r="H6" s="9">
        <v>1</v>
      </c>
    </row>
    <row r="7" spans="1:8" ht="13.5" thickBot="1" x14ac:dyDescent="0.25">
      <c r="B7" s="7" t="s">
        <v>77</v>
      </c>
      <c r="C7" s="8" t="s">
        <v>72</v>
      </c>
      <c r="D7" s="8" t="s">
        <v>76</v>
      </c>
      <c r="E7" s="9">
        <v>0</v>
      </c>
      <c r="F7" s="9">
        <v>1</v>
      </c>
      <c r="G7" s="9">
        <v>0.5</v>
      </c>
      <c r="H7" s="9">
        <v>0.75</v>
      </c>
    </row>
    <row r="8" spans="1:8" ht="13.5" thickBot="1" x14ac:dyDescent="0.25">
      <c r="B8" s="7" t="s">
        <v>81</v>
      </c>
      <c r="C8" s="8" t="s">
        <v>72</v>
      </c>
      <c r="D8" s="8" t="s">
        <v>76</v>
      </c>
      <c r="E8" s="9">
        <v>0.25</v>
      </c>
      <c r="F8" s="9">
        <v>0.75</v>
      </c>
      <c r="G8" s="9">
        <v>0.5</v>
      </c>
      <c r="H8" s="9">
        <v>0.75</v>
      </c>
    </row>
    <row r="9" spans="1:8" ht="13.5" thickBot="1" x14ac:dyDescent="0.25">
      <c r="B9" s="7" t="s">
        <v>91</v>
      </c>
      <c r="C9" s="8" t="s">
        <v>69</v>
      </c>
      <c r="D9" s="8" t="s">
        <v>141</v>
      </c>
      <c r="E9" s="9">
        <v>0</v>
      </c>
      <c r="F9" s="9">
        <v>0</v>
      </c>
      <c r="G9" s="9">
        <v>0.5</v>
      </c>
      <c r="H9" s="9">
        <v>0</v>
      </c>
    </row>
    <row r="10" spans="1:8" ht="13.5" thickBot="1" x14ac:dyDescent="0.25">
      <c r="B10" s="7" t="s">
        <v>14</v>
      </c>
      <c r="C10" s="8" t="s">
        <v>69</v>
      </c>
      <c r="D10" s="8" t="s">
        <v>141</v>
      </c>
      <c r="E10" s="9">
        <v>0</v>
      </c>
      <c r="F10" s="9">
        <v>0</v>
      </c>
      <c r="G10" s="9">
        <v>0.5</v>
      </c>
      <c r="H10" s="9">
        <v>0</v>
      </c>
    </row>
    <row r="11" spans="1:8" ht="15.75" thickBot="1" x14ac:dyDescent="0.3">
      <c r="B11" s="30"/>
      <c r="C11" s="31"/>
      <c r="D11" s="31"/>
      <c r="E11" s="31"/>
      <c r="F11" s="31"/>
      <c r="G11" s="31"/>
      <c r="H11" s="32"/>
    </row>
    <row r="12" spans="1:8" ht="23.25" thickBot="1" x14ac:dyDescent="0.3">
      <c r="B12" s="10" t="s">
        <v>142</v>
      </c>
      <c r="C12" s="11" t="s">
        <v>109</v>
      </c>
      <c r="D12" s="33"/>
      <c r="E12" s="12" t="s">
        <v>108</v>
      </c>
      <c r="F12" s="13" t="s">
        <v>109</v>
      </c>
      <c r="G12" s="31"/>
      <c r="H12" s="32"/>
    </row>
    <row r="13" spans="1:8" ht="23.25" thickBot="1" x14ac:dyDescent="0.3">
      <c r="B13" s="7" t="s">
        <v>143</v>
      </c>
      <c r="C13" s="14">
        <v>1</v>
      </c>
      <c r="D13" s="34"/>
      <c r="E13" s="15" t="s">
        <v>144</v>
      </c>
      <c r="F13" s="16" t="s">
        <v>145</v>
      </c>
      <c r="G13" s="31"/>
      <c r="H13" s="32"/>
    </row>
    <row r="14" spans="1:8" ht="34.5" thickBot="1" x14ac:dyDescent="0.3">
      <c r="B14" s="7" t="s">
        <v>146</v>
      </c>
      <c r="C14" s="14">
        <v>1</v>
      </c>
      <c r="D14" s="34"/>
      <c r="E14" s="15" t="s">
        <v>147</v>
      </c>
      <c r="F14" s="16" t="s">
        <v>148</v>
      </c>
      <c r="G14" s="31"/>
      <c r="H14" s="32"/>
    </row>
    <row r="15" spans="1:8" ht="15.75" thickBot="1" x14ac:dyDescent="0.3">
      <c r="B15" s="7" t="s">
        <v>149</v>
      </c>
      <c r="C15" s="14" t="s">
        <v>97</v>
      </c>
      <c r="D15" s="34"/>
      <c r="E15" s="34"/>
      <c r="F15" s="34"/>
      <c r="G15" s="31"/>
    </row>
    <row r="16" spans="1:8" ht="15.75" thickBot="1" x14ac:dyDescent="0.3">
      <c r="B16" s="7" t="s">
        <v>107</v>
      </c>
      <c r="C16" s="17">
        <v>0</v>
      </c>
      <c r="D16" s="34"/>
      <c r="E16" s="34"/>
      <c r="F16" s="34"/>
      <c r="G16" s="31"/>
      <c r="H16" s="32"/>
    </row>
    <row r="17" spans="2:8" ht="15.75" thickBot="1" x14ac:dyDescent="0.3">
      <c r="B17" s="30"/>
      <c r="C17" s="31"/>
      <c r="D17" s="31"/>
      <c r="E17" s="31"/>
      <c r="F17" s="31"/>
      <c r="G17" s="31"/>
      <c r="H17" s="32"/>
    </row>
    <row r="18" spans="2:8" ht="14.25" thickTop="1" thickBot="1" x14ac:dyDescent="0.25">
      <c r="B18" s="35"/>
      <c r="C18" s="487" t="s">
        <v>112</v>
      </c>
      <c r="D18" s="488"/>
      <c r="E18" s="489"/>
      <c r="F18" s="487" t="s">
        <v>63</v>
      </c>
      <c r="G18" s="488"/>
      <c r="H18" s="490"/>
    </row>
    <row r="19" spans="2:8" ht="69" thickTop="1" thickBot="1" x14ac:dyDescent="0.25">
      <c r="B19" s="36" t="s">
        <v>140</v>
      </c>
      <c r="C19" s="6" t="s">
        <v>113</v>
      </c>
      <c r="D19" s="6" t="s">
        <v>114</v>
      </c>
      <c r="E19" s="18" t="s">
        <v>150</v>
      </c>
      <c r="F19" s="6" t="s">
        <v>113</v>
      </c>
      <c r="G19" s="6" t="s">
        <v>114</v>
      </c>
      <c r="H19" s="6" t="s">
        <v>150</v>
      </c>
    </row>
    <row r="20" spans="2:8" ht="13.5" thickBot="1" x14ac:dyDescent="0.25">
      <c r="B20" s="37" t="s">
        <v>151</v>
      </c>
      <c r="C20" s="19"/>
      <c r="D20" s="19"/>
      <c r="E20" s="20"/>
      <c r="F20" s="19"/>
      <c r="G20" s="19"/>
      <c r="H20" s="19"/>
    </row>
    <row r="21" spans="2:8" ht="13.5" thickBot="1" x14ac:dyDescent="0.25">
      <c r="B21" s="38" t="s">
        <v>12</v>
      </c>
      <c r="C21" s="21">
        <v>70600</v>
      </c>
      <c r="D21" s="21">
        <v>13250</v>
      </c>
      <c r="E21" s="22">
        <v>70600</v>
      </c>
      <c r="F21" s="21">
        <v>70600</v>
      </c>
      <c r="G21" s="21">
        <v>35300</v>
      </c>
      <c r="H21" s="21">
        <v>70600</v>
      </c>
    </row>
    <row r="22" spans="2:8" ht="23.25" thickBot="1" x14ac:dyDescent="0.25">
      <c r="B22" s="38" t="s">
        <v>13</v>
      </c>
      <c r="C22" s="21">
        <v>61200</v>
      </c>
      <c r="D22" s="19" t="s">
        <v>152</v>
      </c>
      <c r="E22" s="22">
        <v>61200</v>
      </c>
      <c r="F22" s="21">
        <v>61200</v>
      </c>
      <c r="G22" s="21">
        <v>30600</v>
      </c>
      <c r="H22" s="21">
        <v>61200</v>
      </c>
    </row>
    <row r="23" spans="2:8" ht="23.25" thickBot="1" x14ac:dyDescent="0.25">
      <c r="B23" s="38" t="s">
        <v>77</v>
      </c>
      <c r="C23" s="21">
        <v>32050</v>
      </c>
      <c r="D23" s="19" t="s">
        <v>152</v>
      </c>
      <c r="E23" s="22">
        <v>21838</v>
      </c>
      <c r="F23" s="21">
        <v>62250</v>
      </c>
      <c r="G23" s="21">
        <v>26250</v>
      </c>
      <c r="H23" s="21">
        <v>44250</v>
      </c>
    </row>
    <row r="24" spans="2:8" ht="23.25" thickBot="1" x14ac:dyDescent="0.25">
      <c r="B24" s="38" t="s">
        <v>81</v>
      </c>
      <c r="C24" s="21">
        <v>92100</v>
      </c>
      <c r="D24" s="21">
        <v>28550</v>
      </c>
      <c r="E24" s="22">
        <v>46050</v>
      </c>
      <c r="F24" s="21">
        <v>74350</v>
      </c>
      <c r="G24" s="21">
        <v>74350</v>
      </c>
      <c r="H24" s="21">
        <v>74350</v>
      </c>
    </row>
    <row r="25" spans="2:8" ht="23.25" thickBot="1" x14ac:dyDescent="0.25">
      <c r="B25" s="38" t="s">
        <v>91</v>
      </c>
      <c r="C25" s="21">
        <v>20000</v>
      </c>
      <c r="D25" s="19" t="s">
        <v>152</v>
      </c>
      <c r="E25" s="22">
        <v>10000</v>
      </c>
      <c r="F25" s="19" t="s">
        <v>152</v>
      </c>
      <c r="G25" s="19" t="s">
        <v>152</v>
      </c>
      <c r="H25" s="19" t="s">
        <v>152</v>
      </c>
    </row>
    <row r="26" spans="2:8" ht="13.5" thickBot="1" x14ac:dyDescent="0.25">
      <c r="B26" s="38" t="s">
        <v>14</v>
      </c>
      <c r="C26" s="21">
        <v>3000</v>
      </c>
      <c r="D26" s="19" t="s">
        <v>152</v>
      </c>
      <c r="E26" s="22">
        <v>1500</v>
      </c>
      <c r="F26" s="19" t="s">
        <v>152</v>
      </c>
      <c r="G26" s="19" t="s">
        <v>152</v>
      </c>
      <c r="H26" s="19" t="s">
        <v>152</v>
      </c>
    </row>
    <row r="27" spans="2:8" ht="13.5" thickBot="1" x14ac:dyDescent="0.25">
      <c r="B27" s="39" t="s">
        <v>153</v>
      </c>
      <c r="C27" s="23">
        <v>278950</v>
      </c>
      <c r="D27" s="23">
        <v>41800</v>
      </c>
      <c r="E27" s="24">
        <v>211188</v>
      </c>
      <c r="F27" s="23">
        <v>268400</v>
      </c>
      <c r="G27" s="23">
        <v>166500</v>
      </c>
      <c r="H27" s="23">
        <v>250400</v>
      </c>
    </row>
    <row r="28" spans="2:8" ht="14.25" thickTop="1" thickBot="1" x14ac:dyDescent="0.25">
      <c r="B28" s="40"/>
      <c r="C28" s="25"/>
      <c r="D28" s="25"/>
      <c r="E28" s="25"/>
      <c r="F28" s="25"/>
      <c r="G28" s="25"/>
      <c r="H28" s="26"/>
    </row>
    <row r="29" spans="2:8" ht="14.25" thickTop="1" thickBot="1" x14ac:dyDescent="0.25">
      <c r="B29" s="37" t="s">
        <v>108</v>
      </c>
      <c r="C29" s="19"/>
      <c r="D29" s="19"/>
      <c r="E29" s="20"/>
      <c r="F29" s="19"/>
      <c r="G29" s="19"/>
      <c r="H29" s="19"/>
    </row>
    <row r="30" spans="2:8" ht="13.5" thickBot="1" x14ac:dyDescent="0.25">
      <c r="B30" s="41" t="s">
        <v>154</v>
      </c>
      <c r="C30" s="21">
        <v>-96650</v>
      </c>
      <c r="D30" s="21">
        <v>-6500</v>
      </c>
      <c r="E30" s="22">
        <v>-73338</v>
      </c>
      <c r="F30" s="19" t="s">
        <v>152</v>
      </c>
      <c r="G30" s="19" t="s">
        <v>152</v>
      </c>
      <c r="H30" s="19" t="s">
        <v>152</v>
      </c>
    </row>
    <row r="31" spans="2:8" ht="23.25" thickBot="1" x14ac:dyDescent="0.25">
      <c r="B31" s="41" t="s">
        <v>155</v>
      </c>
      <c r="C31" s="19" t="s">
        <v>152</v>
      </c>
      <c r="D31" s="19"/>
      <c r="E31" s="20"/>
      <c r="F31" s="19" t="s">
        <v>152</v>
      </c>
      <c r="G31" s="19" t="s">
        <v>152</v>
      </c>
      <c r="H31" s="19" t="s">
        <v>152</v>
      </c>
    </row>
    <row r="32" spans="2:8" ht="13.5" thickBot="1" x14ac:dyDescent="0.25">
      <c r="B32" s="39" t="s">
        <v>118</v>
      </c>
      <c r="C32" s="23">
        <v>-96650</v>
      </c>
      <c r="D32" s="23">
        <v>-6500</v>
      </c>
      <c r="E32" s="24">
        <v>-73338</v>
      </c>
      <c r="F32" s="26" t="s">
        <v>152</v>
      </c>
      <c r="G32" s="26" t="s">
        <v>152</v>
      </c>
      <c r="H32" s="26" t="s">
        <v>152</v>
      </c>
    </row>
    <row r="33" spans="2:8" ht="14.25" thickTop="1" thickBot="1" x14ac:dyDescent="0.25">
      <c r="B33" s="40"/>
      <c r="C33" s="25"/>
      <c r="D33" s="25"/>
      <c r="E33" s="25"/>
      <c r="F33" s="25"/>
      <c r="G33" s="25"/>
      <c r="H33" s="26"/>
    </row>
    <row r="34" spans="2:8" ht="14.25" thickTop="1" thickBot="1" x14ac:dyDescent="0.25">
      <c r="B34" s="42" t="s">
        <v>119</v>
      </c>
      <c r="C34" s="21">
        <v>182300</v>
      </c>
      <c r="D34" s="21">
        <v>35300</v>
      </c>
      <c r="E34" s="22">
        <v>137850</v>
      </c>
      <c r="F34" s="21">
        <v>268400</v>
      </c>
      <c r="G34" s="21">
        <v>166500</v>
      </c>
      <c r="H34" s="21">
        <v>250400</v>
      </c>
    </row>
    <row r="35" spans="2:8" x14ac:dyDescent="0.2">
      <c r="B35" s="27"/>
      <c r="C35" s="28"/>
      <c r="D35" s="28"/>
      <c r="E35" s="28"/>
      <c r="F35" s="28"/>
      <c r="G35" s="28"/>
      <c r="H35" s="28"/>
    </row>
    <row r="36" spans="2:8" ht="15.75" thickBot="1" x14ac:dyDescent="0.3">
      <c r="B36" s="4"/>
      <c r="C36"/>
      <c r="D36"/>
      <c r="E36"/>
      <c r="F36"/>
      <c r="G36"/>
      <c r="H36"/>
    </row>
    <row r="37" spans="2:8" ht="35.25" thickBot="1" x14ac:dyDescent="0.25">
      <c r="B37" s="29" t="s">
        <v>158</v>
      </c>
      <c r="C37" s="491" t="s">
        <v>125</v>
      </c>
      <c r="D37" s="492"/>
      <c r="E37" s="491" t="s">
        <v>64</v>
      </c>
      <c r="F37" s="492"/>
      <c r="G37" s="491" t="s">
        <v>65</v>
      </c>
      <c r="H37" s="492"/>
    </row>
    <row r="38" spans="2:8" ht="45.75" thickBot="1" x14ac:dyDescent="0.25">
      <c r="B38" s="5" t="s">
        <v>140</v>
      </c>
      <c r="C38" s="6" t="s">
        <v>112</v>
      </c>
      <c r="D38" s="6" t="s">
        <v>63</v>
      </c>
      <c r="E38" s="6" t="s">
        <v>66</v>
      </c>
      <c r="F38" s="6" t="s">
        <v>67</v>
      </c>
      <c r="G38" s="6" t="s">
        <v>66</v>
      </c>
      <c r="H38" s="6" t="s">
        <v>67</v>
      </c>
    </row>
    <row r="39" spans="2:8" ht="13.5" thickBot="1" x14ac:dyDescent="0.25">
      <c r="B39" s="7" t="s">
        <v>12</v>
      </c>
      <c r="C39" s="8" t="s">
        <v>72</v>
      </c>
      <c r="D39" s="8" t="s">
        <v>72</v>
      </c>
      <c r="E39" s="9">
        <v>0.25</v>
      </c>
      <c r="F39" s="9">
        <v>0.5</v>
      </c>
      <c r="G39" s="9">
        <v>1</v>
      </c>
      <c r="H39" s="9">
        <v>1</v>
      </c>
    </row>
    <row r="40" spans="2:8" ht="13.5" thickBot="1" x14ac:dyDescent="0.25">
      <c r="B40" s="7" t="s">
        <v>13</v>
      </c>
      <c r="C40" s="8" t="s">
        <v>72</v>
      </c>
      <c r="D40" s="8" t="s">
        <v>72</v>
      </c>
      <c r="E40" s="9">
        <v>0</v>
      </c>
      <c r="F40" s="9">
        <v>0.5</v>
      </c>
      <c r="G40" s="9">
        <v>1</v>
      </c>
      <c r="H40" s="9">
        <v>1</v>
      </c>
    </row>
    <row r="41" spans="2:8" ht="13.5" thickBot="1" x14ac:dyDescent="0.25">
      <c r="B41" s="7" t="s">
        <v>77</v>
      </c>
      <c r="C41" s="8" t="s">
        <v>72</v>
      </c>
      <c r="D41" s="8" t="s">
        <v>76</v>
      </c>
      <c r="E41" s="9">
        <v>0</v>
      </c>
      <c r="F41" s="9">
        <v>1</v>
      </c>
      <c r="G41" s="9">
        <v>0.5</v>
      </c>
      <c r="H41" s="9">
        <v>0.75</v>
      </c>
    </row>
    <row r="42" spans="2:8" ht="13.5" thickBot="1" x14ac:dyDescent="0.25">
      <c r="B42" s="7" t="s">
        <v>81</v>
      </c>
      <c r="C42" s="8" t="s">
        <v>72</v>
      </c>
      <c r="D42" s="8" t="s">
        <v>76</v>
      </c>
      <c r="E42" s="9">
        <v>0.25</v>
      </c>
      <c r="F42" s="9">
        <v>0.75</v>
      </c>
      <c r="G42" s="9">
        <v>0.5</v>
      </c>
      <c r="H42" s="9">
        <v>0.75</v>
      </c>
    </row>
    <row r="43" spans="2:8" ht="13.5" thickBot="1" x14ac:dyDescent="0.25">
      <c r="B43" s="7" t="s">
        <v>91</v>
      </c>
      <c r="C43" s="8" t="s">
        <v>69</v>
      </c>
      <c r="D43" s="8" t="s">
        <v>141</v>
      </c>
      <c r="E43" s="9">
        <v>0</v>
      </c>
      <c r="F43" s="9">
        <v>0</v>
      </c>
      <c r="G43" s="9">
        <v>0.5</v>
      </c>
      <c r="H43" s="9">
        <v>0</v>
      </c>
    </row>
    <row r="44" spans="2:8" ht="13.5" thickBot="1" x14ac:dyDescent="0.25">
      <c r="B44" s="7" t="s">
        <v>14</v>
      </c>
      <c r="C44" s="8" t="s">
        <v>69</v>
      </c>
      <c r="D44" s="8" t="s">
        <v>141</v>
      </c>
      <c r="E44" s="9">
        <v>0</v>
      </c>
      <c r="F44" s="9">
        <v>0</v>
      </c>
      <c r="G44" s="9">
        <v>0.5</v>
      </c>
      <c r="H44" s="9">
        <v>0</v>
      </c>
    </row>
    <row r="45" spans="2:8" ht="15.75" thickBot="1" x14ac:dyDescent="0.3">
      <c r="B45" s="30"/>
      <c r="C45" s="31"/>
      <c r="D45" s="31"/>
      <c r="E45" s="31"/>
      <c r="F45" s="31"/>
      <c r="G45" s="31"/>
      <c r="H45" s="32"/>
    </row>
    <row r="46" spans="2:8" ht="23.25" thickBot="1" x14ac:dyDescent="0.3">
      <c r="B46" s="10" t="s">
        <v>142</v>
      </c>
      <c r="C46" s="11" t="s">
        <v>109</v>
      </c>
      <c r="D46" s="33"/>
      <c r="E46" s="12" t="s">
        <v>108</v>
      </c>
      <c r="F46" s="13" t="s">
        <v>109</v>
      </c>
      <c r="G46" s="31"/>
      <c r="H46" s="32"/>
    </row>
    <row r="47" spans="2:8" ht="23.25" thickBot="1" x14ac:dyDescent="0.3">
      <c r="B47" s="7" t="s">
        <v>143</v>
      </c>
      <c r="C47" s="14">
        <v>1</v>
      </c>
      <c r="D47" s="34"/>
      <c r="E47" s="15" t="s">
        <v>144</v>
      </c>
      <c r="F47" s="16" t="s">
        <v>145</v>
      </c>
      <c r="G47" s="31"/>
      <c r="H47" s="32"/>
    </row>
    <row r="48" spans="2:8" ht="34.5" thickBot="1" x14ac:dyDescent="0.3">
      <c r="B48" s="7" t="s">
        <v>146</v>
      </c>
      <c r="C48" s="14">
        <v>1</v>
      </c>
      <c r="D48" s="34"/>
      <c r="E48" s="15" t="s">
        <v>147</v>
      </c>
      <c r="F48" s="16" t="s">
        <v>156</v>
      </c>
      <c r="G48" s="31"/>
      <c r="H48" s="32"/>
    </row>
    <row r="49" spans="2:8" ht="15.75" thickBot="1" x14ac:dyDescent="0.3">
      <c r="B49" s="7" t="s">
        <v>149</v>
      </c>
      <c r="C49" s="14" t="s">
        <v>97</v>
      </c>
      <c r="D49" s="34"/>
      <c r="E49" s="34"/>
      <c r="F49" s="34"/>
      <c r="G49" s="31"/>
      <c r="H49" s="32"/>
    </row>
    <row r="50" spans="2:8" ht="15.75" thickBot="1" x14ac:dyDescent="0.3">
      <c r="B50" s="7" t="s">
        <v>107</v>
      </c>
      <c r="C50" s="17">
        <v>0</v>
      </c>
      <c r="D50" s="34"/>
      <c r="E50" s="34"/>
      <c r="F50" s="34"/>
      <c r="G50" s="31"/>
      <c r="H50" s="32"/>
    </row>
    <row r="51" spans="2:8" ht="15.75" thickBot="1" x14ac:dyDescent="0.3">
      <c r="B51" s="30"/>
      <c r="C51" s="31"/>
      <c r="D51" s="31"/>
      <c r="E51" s="31"/>
      <c r="F51" s="31"/>
      <c r="G51" s="31"/>
      <c r="H51" s="32"/>
    </row>
    <row r="52" spans="2:8" ht="14.25" thickTop="1" thickBot="1" x14ac:dyDescent="0.25">
      <c r="B52" s="35"/>
      <c r="C52" s="487" t="s">
        <v>112</v>
      </c>
      <c r="D52" s="488"/>
      <c r="E52" s="489"/>
      <c r="F52" s="487" t="s">
        <v>63</v>
      </c>
      <c r="G52" s="488"/>
      <c r="H52" s="490"/>
    </row>
    <row r="53" spans="2:8" ht="69" thickTop="1" thickBot="1" x14ac:dyDescent="0.25">
      <c r="B53" s="36" t="s">
        <v>140</v>
      </c>
      <c r="C53" s="6" t="s">
        <v>113</v>
      </c>
      <c r="D53" s="6" t="s">
        <v>114</v>
      </c>
      <c r="E53" s="18" t="s">
        <v>150</v>
      </c>
      <c r="F53" s="6" t="s">
        <v>113</v>
      </c>
      <c r="G53" s="6" t="s">
        <v>114</v>
      </c>
      <c r="H53" s="6" t="s">
        <v>150</v>
      </c>
    </row>
    <row r="54" spans="2:8" ht="13.5" thickBot="1" x14ac:dyDescent="0.25">
      <c r="B54" s="37" t="s">
        <v>151</v>
      </c>
      <c r="C54" s="19"/>
      <c r="D54" s="19"/>
      <c r="E54" s="20"/>
      <c r="F54" s="19"/>
      <c r="G54" s="19"/>
      <c r="H54" s="19"/>
    </row>
    <row r="55" spans="2:8" ht="13.5" thickBot="1" x14ac:dyDescent="0.25">
      <c r="B55" s="38" t="s">
        <v>12</v>
      </c>
      <c r="C55" s="21">
        <v>70600</v>
      </c>
      <c r="D55" s="21">
        <v>13250</v>
      </c>
      <c r="E55" s="22">
        <v>70600</v>
      </c>
      <c r="F55" s="21">
        <v>70600</v>
      </c>
      <c r="G55" s="21">
        <v>35300</v>
      </c>
      <c r="H55" s="21">
        <v>70600</v>
      </c>
    </row>
    <row r="56" spans="2:8" ht="23.25" thickBot="1" x14ac:dyDescent="0.25">
      <c r="B56" s="38" t="s">
        <v>13</v>
      </c>
      <c r="C56" s="21">
        <v>61200</v>
      </c>
      <c r="D56" s="19" t="s">
        <v>152</v>
      </c>
      <c r="E56" s="22">
        <v>61200</v>
      </c>
      <c r="F56" s="21">
        <v>61200</v>
      </c>
      <c r="G56" s="21">
        <v>30600</v>
      </c>
      <c r="H56" s="21">
        <v>61200</v>
      </c>
    </row>
    <row r="57" spans="2:8" ht="23.25" thickBot="1" x14ac:dyDescent="0.25">
      <c r="B57" s="38" t="s">
        <v>77</v>
      </c>
      <c r="C57" s="21">
        <v>32050</v>
      </c>
      <c r="D57" s="19" t="s">
        <v>152</v>
      </c>
      <c r="E57" s="22">
        <v>21838</v>
      </c>
      <c r="F57" s="21">
        <v>62250</v>
      </c>
      <c r="G57" s="21">
        <v>26250</v>
      </c>
      <c r="H57" s="21">
        <v>44250</v>
      </c>
    </row>
    <row r="58" spans="2:8" ht="23.25" thickBot="1" x14ac:dyDescent="0.25">
      <c r="B58" s="38" t="s">
        <v>81</v>
      </c>
      <c r="C58" s="21">
        <v>92100</v>
      </c>
      <c r="D58" s="21">
        <v>28550</v>
      </c>
      <c r="E58" s="22">
        <v>46050</v>
      </c>
      <c r="F58" s="21">
        <v>74350</v>
      </c>
      <c r="G58" s="21">
        <v>74350</v>
      </c>
      <c r="H58" s="21">
        <v>74350</v>
      </c>
    </row>
    <row r="59" spans="2:8" ht="23.25" thickBot="1" x14ac:dyDescent="0.25">
      <c r="B59" s="38" t="s">
        <v>91</v>
      </c>
      <c r="C59" s="21">
        <v>20000</v>
      </c>
      <c r="D59" s="19" t="s">
        <v>152</v>
      </c>
      <c r="E59" s="22">
        <v>10000</v>
      </c>
      <c r="F59" s="19" t="s">
        <v>152</v>
      </c>
      <c r="G59" s="19" t="s">
        <v>152</v>
      </c>
      <c r="H59" s="19" t="s">
        <v>152</v>
      </c>
    </row>
    <row r="60" spans="2:8" ht="13.5" thickBot="1" x14ac:dyDescent="0.25">
      <c r="B60" s="38" t="s">
        <v>14</v>
      </c>
      <c r="C60" s="21">
        <v>3000</v>
      </c>
      <c r="D60" s="19" t="s">
        <v>152</v>
      </c>
      <c r="E60" s="22">
        <v>1500</v>
      </c>
      <c r="F60" s="19" t="s">
        <v>152</v>
      </c>
      <c r="G60" s="19" t="s">
        <v>152</v>
      </c>
      <c r="H60" s="19" t="s">
        <v>152</v>
      </c>
    </row>
    <row r="61" spans="2:8" ht="13.5" thickBot="1" x14ac:dyDescent="0.25">
      <c r="B61" s="39" t="s">
        <v>153</v>
      </c>
      <c r="C61" s="23">
        <v>278950</v>
      </c>
      <c r="D61" s="23">
        <v>41800</v>
      </c>
      <c r="E61" s="24">
        <v>211188</v>
      </c>
      <c r="F61" s="23">
        <v>268400</v>
      </c>
      <c r="G61" s="23">
        <v>166500</v>
      </c>
      <c r="H61" s="23">
        <v>250400</v>
      </c>
    </row>
    <row r="62" spans="2:8" ht="14.25" thickTop="1" thickBot="1" x14ac:dyDescent="0.25">
      <c r="B62" s="40"/>
      <c r="C62" s="25"/>
      <c r="D62" s="25"/>
      <c r="E62" s="25"/>
      <c r="F62" s="25"/>
      <c r="G62" s="25"/>
      <c r="H62" s="26"/>
    </row>
    <row r="63" spans="2:8" ht="14.25" thickTop="1" thickBot="1" x14ac:dyDescent="0.25">
      <c r="B63" s="37" t="s">
        <v>108</v>
      </c>
      <c r="C63" s="19"/>
      <c r="D63" s="19"/>
      <c r="E63" s="20"/>
      <c r="F63" s="19"/>
      <c r="G63" s="19"/>
      <c r="H63" s="19"/>
    </row>
    <row r="64" spans="2:8" ht="13.5" thickBot="1" x14ac:dyDescent="0.25">
      <c r="B64" s="41" t="s">
        <v>154</v>
      </c>
      <c r="C64" s="21">
        <v>-96650</v>
      </c>
      <c r="D64" s="21">
        <v>-6500</v>
      </c>
      <c r="E64" s="22">
        <v>-73338</v>
      </c>
      <c r="F64" s="19" t="s">
        <v>152</v>
      </c>
      <c r="G64" s="19" t="s">
        <v>152</v>
      </c>
      <c r="H64" s="19" t="s">
        <v>152</v>
      </c>
    </row>
    <row r="65" spans="2:8" ht="23.25" thickBot="1" x14ac:dyDescent="0.25">
      <c r="B65" s="41" t="s">
        <v>155</v>
      </c>
      <c r="C65" s="21">
        <v>-10900</v>
      </c>
      <c r="D65" s="19" t="s">
        <v>152</v>
      </c>
      <c r="E65" s="22">
        <v>-5450</v>
      </c>
      <c r="F65" s="19" t="s">
        <v>152</v>
      </c>
      <c r="G65" s="19" t="s">
        <v>152</v>
      </c>
      <c r="H65" s="19" t="s">
        <v>152</v>
      </c>
    </row>
    <row r="66" spans="2:8" ht="13.5" thickBot="1" x14ac:dyDescent="0.25">
      <c r="B66" s="39" t="s">
        <v>118</v>
      </c>
      <c r="C66" s="23">
        <v>-107550</v>
      </c>
      <c r="D66" s="23">
        <v>-6500</v>
      </c>
      <c r="E66" s="24">
        <v>-78788</v>
      </c>
      <c r="F66" s="26" t="s">
        <v>152</v>
      </c>
      <c r="G66" s="26" t="s">
        <v>152</v>
      </c>
      <c r="H66" s="26" t="s">
        <v>152</v>
      </c>
    </row>
    <row r="67" spans="2:8" ht="14.25" thickTop="1" thickBot="1" x14ac:dyDescent="0.25">
      <c r="B67" s="40"/>
      <c r="C67" s="25"/>
      <c r="D67" s="25"/>
      <c r="E67" s="25"/>
      <c r="F67" s="25"/>
      <c r="G67" s="25"/>
      <c r="H67" s="26"/>
    </row>
    <row r="68" spans="2:8" ht="14.25" thickTop="1" thickBot="1" x14ac:dyDescent="0.25">
      <c r="B68" s="42" t="s">
        <v>119</v>
      </c>
      <c r="C68" s="21">
        <v>171350</v>
      </c>
      <c r="D68" s="21">
        <v>35300</v>
      </c>
      <c r="E68" s="22">
        <v>132400</v>
      </c>
      <c r="F68" s="21">
        <v>268400</v>
      </c>
      <c r="G68" s="21">
        <v>166500</v>
      </c>
      <c r="H68" s="21">
        <v>250400</v>
      </c>
    </row>
    <row r="69" spans="2:8" ht="15" x14ac:dyDescent="0.25">
      <c r="B69" s="4"/>
      <c r="C69"/>
      <c r="D69"/>
      <c r="E69"/>
      <c r="F69"/>
      <c r="G69"/>
      <c r="H69"/>
    </row>
  </sheetData>
  <mergeCells count="10">
    <mergeCell ref="C52:E52"/>
    <mergeCell ref="F52:H52"/>
    <mergeCell ref="C3:D3"/>
    <mergeCell ref="E3:F3"/>
    <mergeCell ref="G3:H3"/>
    <mergeCell ref="C18:E18"/>
    <mergeCell ref="F18:H18"/>
    <mergeCell ref="C37:D37"/>
    <mergeCell ref="E37:F37"/>
    <mergeCell ref="G37:H37"/>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0" tint="-0.34998626667073579"/>
  </sheetPr>
  <dimension ref="A1:G16"/>
  <sheetViews>
    <sheetView showGridLines="0" zoomScale="85" zoomScaleNormal="85" workbookViewId="0">
      <selection activeCell="A2" sqref="A2"/>
    </sheetView>
  </sheetViews>
  <sheetFormatPr defaultColWidth="8.85546875" defaultRowHeight="12.75" x14ac:dyDescent="0.2"/>
  <cols>
    <col min="1" max="1" width="3" style="115" customWidth="1"/>
    <col min="2" max="2" width="3.42578125" style="115" customWidth="1"/>
    <col min="3" max="3" width="24.42578125" style="115" bestFit="1" customWidth="1"/>
    <col min="4" max="4" width="40.28515625" style="115" customWidth="1"/>
    <col min="5" max="5" width="24.42578125" style="115" customWidth="1"/>
    <col min="6" max="6" width="41.7109375" style="115" customWidth="1"/>
    <col min="7" max="7" width="3.7109375" style="115" customWidth="1"/>
    <col min="8" max="16384" width="8.85546875" style="115"/>
  </cols>
  <sheetData>
    <row r="1" spans="1:7" s="395" customFormat="1" ht="51.75" customHeight="1" x14ac:dyDescent="0.5"/>
    <row r="2" spans="1:7" s="118" customFormat="1" ht="16.5" customHeight="1" x14ac:dyDescent="0.5">
      <c r="A2" s="121" t="s">
        <v>358</v>
      </c>
      <c r="B2" s="120"/>
    </row>
    <row r="3" spans="1:7" s="119" customFormat="1" ht="19.5" customHeight="1" x14ac:dyDescent="0.5">
      <c r="A3" s="122" t="s">
        <v>193</v>
      </c>
    </row>
    <row r="4" spans="1:7" x14ac:dyDescent="0.2">
      <c r="B4" s="116"/>
    </row>
    <row r="5" spans="1:7" ht="15.75" x14ac:dyDescent="0.25">
      <c r="A5" s="130" t="s">
        <v>0</v>
      </c>
      <c r="B5" s="117"/>
    </row>
    <row r="6" spans="1:7" s="125" customFormat="1" x14ac:dyDescent="0.2">
      <c r="A6" s="123"/>
      <c r="B6" s="124">
        <v>1</v>
      </c>
      <c r="C6" s="327" t="s">
        <v>219</v>
      </c>
    </row>
    <row r="7" spans="1:7" s="125" customFormat="1" x14ac:dyDescent="0.2">
      <c r="B7" s="124">
        <v>2</v>
      </c>
      <c r="C7" s="327" t="s">
        <v>229</v>
      </c>
    </row>
    <row r="8" spans="1:7" s="125" customFormat="1" x14ac:dyDescent="0.2">
      <c r="B8" s="124">
        <v>3</v>
      </c>
      <c r="C8" s="327" t="s">
        <v>51</v>
      </c>
    </row>
    <row r="9" spans="1:7" s="125" customFormat="1" x14ac:dyDescent="0.2">
      <c r="B9" s="124">
        <v>4</v>
      </c>
      <c r="C9" s="328" t="s">
        <v>174</v>
      </c>
    </row>
    <row r="10" spans="1:7" s="125" customFormat="1" x14ac:dyDescent="0.2">
      <c r="B10" s="124">
        <v>5</v>
      </c>
      <c r="C10" s="327" t="s">
        <v>60</v>
      </c>
    </row>
    <row r="11" spans="1:7" s="125" customFormat="1" x14ac:dyDescent="0.2">
      <c r="B11" s="124">
        <v>6</v>
      </c>
      <c r="C11" s="327" t="s">
        <v>11</v>
      </c>
    </row>
    <row r="12" spans="1:7" ht="13.5" thickBot="1" x14ac:dyDescent="0.25"/>
    <row r="13" spans="1:7" ht="15" customHeight="1" x14ac:dyDescent="0.2">
      <c r="B13" s="398" t="s">
        <v>280</v>
      </c>
      <c r="C13" s="399"/>
      <c r="D13" s="399"/>
      <c r="E13" s="399"/>
      <c r="F13" s="399"/>
      <c r="G13" s="400"/>
    </row>
    <row r="14" spans="1:7" ht="55.5" customHeight="1" x14ac:dyDescent="0.25">
      <c r="B14" s="126"/>
      <c r="C14" s="396" t="s">
        <v>260</v>
      </c>
      <c r="D14" s="396"/>
      <c r="E14" s="396"/>
      <c r="F14" s="396"/>
      <c r="G14" s="127"/>
    </row>
    <row r="15" spans="1:7" ht="57.75" customHeight="1" x14ac:dyDescent="0.25">
      <c r="B15" s="126"/>
      <c r="C15" s="401" t="s">
        <v>261</v>
      </c>
      <c r="D15" s="401"/>
      <c r="E15" s="401"/>
      <c r="F15" s="401"/>
      <c r="G15" s="127"/>
    </row>
    <row r="16" spans="1:7" ht="43.5" customHeight="1" thickBot="1" x14ac:dyDescent="0.3">
      <c r="B16" s="128"/>
      <c r="C16" s="397" t="s">
        <v>228</v>
      </c>
      <c r="D16" s="397"/>
      <c r="E16" s="397"/>
      <c r="F16" s="397"/>
      <c r="G16" s="129"/>
    </row>
  </sheetData>
  <mergeCells count="5">
    <mergeCell ref="A1:XFD1"/>
    <mergeCell ref="C14:F14"/>
    <mergeCell ref="C16:F16"/>
    <mergeCell ref="B13:G13"/>
    <mergeCell ref="C15:F15"/>
  </mergeCells>
  <hyperlinks>
    <hyperlink ref="C9" location="'4.0 Activities'!A1" display="Activities"/>
    <hyperlink ref="C8" location="'3.0 Cost Variables'!A1" display="Cost Variables"/>
    <hyperlink ref="C7" location="'2.0 Exchange Variables'!A1" display="Exchange Variables"/>
    <hyperlink ref="C10" location="'5.0 Summary Analysis'!A1" display="Analysis"/>
    <hyperlink ref="C11" location="'7.0 Appendix'!A1" display="Appendix"/>
    <hyperlink ref="C6" location="'1.0 Instructions'!A1" display="Instructions"/>
  </hyperlinks>
  <pageMargins left="0.75" right="0.75" top="1" bottom="1" header="0.5" footer="0.5"/>
  <pageSetup paperSize="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0" tint="-0.34998626667073579"/>
  </sheetPr>
  <dimension ref="A1:U83"/>
  <sheetViews>
    <sheetView showGridLines="0" topLeftCell="A28" zoomScale="80" zoomScaleNormal="80" zoomScalePageLayoutView="85" workbookViewId="0">
      <selection activeCell="C29" sqref="C29:I29"/>
    </sheetView>
  </sheetViews>
  <sheetFormatPr defaultColWidth="8.85546875" defaultRowHeight="12.75" x14ac:dyDescent="0.2"/>
  <cols>
    <col min="1" max="1" width="3.42578125" style="214" customWidth="1"/>
    <col min="2" max="2" width="2.42578125" style="125" customWidth="1"/>
    <col min="3" max="4" width="14.42578125" style="125" customWidth="1"/>
    <col min="5" max="5" width="18.85546875" style="125" customWidth="1"/>
    <col min="6" max="6" width="6.42578125" style="125" customWidth="1"/>
    <col min="7" max="7" width="13.140625" style="125" customWidth="1"/>
    <col min="8" max="8" width="12.7109375" style="125" customWidth="1"/>
    <col min="9" max="9" width="22.140625" style="125" customWidth="1"/>
    <col min="10" max="10" width="3" style="125" customWidth="1"/>
    <col min="11" max="11" width="14.42578125" style="229" customWidth="1"/>
    <col min="12" max="16384" width="8.85546875" style="214"/>
  </cols>
  <sheetData>
    <row r="1" spans="1:21" s="395" customFormat="1" ht="51.75" customHeight="1" x14ac:dyDescent="0.5"/>
    <row r="2" spans="1:21" s="118" customFormat="1" ht="16.5" customHeight="1" x14ac:dyDescent="0.5">
      <c r="A2" s="121" t="s">
        <v>357</v>
      </c>
      <c r="B2" s="120"/>
    </row>
    <row r="3" spans="1:21" s="119" customFormat="1" ht="19.5" customHeight="1" x14ac:dyDescent="0.5">
      <c r="A3" s="122" t="s">
        <v>280</v>
      </c>
    </row>
    <row r="4" spans="1:21" ht="9" customHeight="1" x14ac:dyDescent="0.2"/>
    <row r="5" spans="1:21" ht="12" customHeight="1" x14ac:dyDescent="0.2">
      <c r="A5" s="411" t="s">
        <v>194</v>
      </c>
      <c r="B5" s="411"/>
      <c r="C5" s="411"/>
    </row>
    <row r="6" spans="1:21" ht="9.75" customHeight="1" x14ac:dyDescent="0.2"/>
    <row r="7" spans="1:21" ht="23.25" customHeight="1" x14ac:dyDescent="0.2">
      <c r="A7" s="125"/>
      <c r="B7" s="417" t="s">
        <v>337</v>
      </c>
      <c r="C7" s="418"/>
      <c r="D7" s="418"/>
      <c r="E7" s="418"/>
      <c r="F7" s="418"/>
      <c r="G7" s="418"/>
      <c r="H7" s="418"/>
      <c r="I7" s="418"/>
      <c r="J7" s="419"/>
      <c r="K7" s="216"/>
      <c r="L7" s="125"/>
      <c r="M7" s="125"/>
      <c r="N7" s="125"/>
      <c r="O7" s="125"/>
      <c r="P7" s="125"/>
      <c r="Q7" s="125"/>
      <c r="R7" s="125"/>
      <c r="S7" s="125"/>
      <c r="T7" s="125"/>
      <c r="U7" s="125"/>
    </row>
    <row r="8" spans="1:21" ht="8.25" customHeight="1" x14ac:dyDescent="0.2">
      <c r="A8" s="125"/>
      <c r="B8" s="217"/>
      <c r="C8" s="218"/>
      <c r="D8" s="218"/>
      <c r="E8" s="218"/>
      <c r="F8" s="218"/>
      <c r="G8" s="218"/>
      <c r="H8" s="218"/>
      <c r="I8" s="218"/>
      <c r="J8" s="219"/>
      <c r="K8" s="125"/>
      <c r="L8" s="125"/>
      <c r="M8" s="125"/>
      <c r="N8" s="125"/>
      <c r="O8" s="125"/>
      <c r="P8" s="125"/>
      <c r="Q8" s="125"/>
      <c r="R8" s="125"/>
      <c r="S8" s="125"/>
      <c r="T8" s="125"/>
      <c r="U8" s="125"/>
    </row>
    <row r="9" spans="1:21" ht="45.75" customHeight="1" x14ac:dyDescent="0.2">
      <c r="A9" s="125"/>
      <c r="B9" s="220"/>
      <c r="C9" s="401" t="s">
        <v>215</v>
      </c>
      <c r="D9" s="401"/>
      <c r="E9" s="401"/>
      <c r="F9" s="401"/>
      <c r="G9" s="401"/>
      <c r="H9" s="401"/>
      <c r="I9" s="401"/>
      <c r="J9" s="221"/>
      <c r="K9" s="125"/>
      <c r="L9" s="394" t="s">
        <v>333</v>
      </c>
      <c r="M9" s="125"/>
      <c r="N9" s="125"/>
      <c r="O9" s="125"/>
      <c r="P9" s="125"/>
      <c r="Q9" s="125"/>
      <c r="R9" s="125"/>
      <c r="S9" s="125"/>
      <c r="T9" s="125"/>
      <c r="U9" s="125"/>
    </row>
    <row r="10" spans="1:21" ht="7.5" customHeight="1" x14ac:dyDescent="0.2">
      <c r="A10" s="125"/>
      <c r="B10" s="220"/>
      <c r="C10" s="201"/>
      <c r="D10" s="201"/>
      <c r="E10" s="201"/>
      <c r="F10" s="201"/>
      <c r="G10" s="201"/>
      <c r="H10" s="201"/>
      <c r="I10" s="201"/>
      <c r="J10" s="221"/>
      <c r="K10" s="125"/>
      <c r="L10" s="125"/>
      <c r="M10" s="125"/>
      <c r="N10" s="125"/>
      <c r="O10" s="125"/>
      <c r="P10" s="125"/>
      <c r="Q10" s="125"/>
      <c r="R10" s="125"/>
      <c r="S10" s="125"/>
      <c r="T10" s="125"/>
      <c r="U10" s="125"/>
    </row>
    <row r="11" spans="1:21" ht="23.25" customHeight="1" x14ac:dyDescent="0.2">
      <c r="A11" s="125"/>
      <c r="B11" s="408" t="s">
        <v>216</v>
      </c>
      <c r="C11" s="409"/>
      <c r="D11" s="409"/>
      <c r="E11" s="409"/>
      <c r="F11" s="409"/>
      <c r="G11" s="409"/>
      <c r="H11" s="409"/>
      <c r="I11" s="409"/>
      <c r="J11" s="410"/>
      <c r="K11" s="216"/>
      <c r="L11" s="125"/>
      <c r="M11" s="125"/>
      <c r="N11" s="125"/>
      <c r="O11" s="125"/>
      <c r="P11" s="125"/>
      <c r="Q11" s="125"/>
      <c r="R11" s="125"/>
      <c r="S11" s="125"/>
      <c r="T11" s="125"/>
      <c r="U11" s="125"/>
    </row>
    <row r="12" spans="1:21" ht="9" customHeight="1" x14ac:dyDescent="0.2">
      <c r="A12" s="125"/>
      <c r="B12" s="217"/>
      <c r="C12" s="218"/>
      <c r="D12" s="218"/>
      <c r="E12" s="218"/>
      <c r="F12" s="218"/>
      <c r="G12" s="218"/>
      <c r="H12" s="218"/>
      <c r="I12" s="218"/>
      <c r="J12" s="219"/>
      <c r="K12" s="125"/>
      <c r="L12" s="125"/>
      <c r="M12" s="125"/>
      <c r="N12" s="125"/>
      <c r="O12" s="125"/>
      <c r="P12" s="125"/>
      <c r="Q12" s="125"/>
      <c r="R12" s="125"/>
      <c r="S12" s="125"/>
      <c r="T12" s="125"/>
      <c r="U12" s="125"/>
    </row>
    <row r="13" spans="1:21" ht="65.25" customHeight="1" x14ac:dyDescent="0.2">
      <c r="A13" s="125"/>
      <c r="B13" s="220"/>
      <c r="C13" s="401" t="s">
        <v>338</v>
      </c>
      <c r="D13" s="401"/>
      <c r="E13" s="401"/>
      <c r="F13" s="401"/>
      <c r="G13" s="401"/>
      <c r="H13" s="401"/>
      <c r="I13" s="401"/>
      <c r="J13" s="221"/>
      <c r="K13" s="125"/>
      <c r="L13" s="125"/>
      <c r="M13" s="125"/>
      <c r="N13" s="125"/>
      <c r="O13" s="125"/>
      <c r="P13" s="125"/>
      <c r="Q13" s="125"/>
      <c r="R13" s="125"/>
      <c r="S13" s="125"/>
      <c r="T13" s="125"/>
      <c r="U13" s="125"/>
    </row>
    <row r="14" spans="1:21" ht="51.75" customHeight="1" x14ac:dyDescent="0.2">
      <c r="A14" s="125"/>
      <c r="B14" s="220"/>
      <c r="C14" s="401" t="s">
        <v>294</v>
      </c>
      <c r="D14" s="401"/>
      <c r="E14" s="401"/>
      <c r="F14" s="401"/>
      <c r="G14" s="401"/>
      <c r="H14" s="401"/>
      <c r="I14" s="401"/>
      <c r="J14" s="221"/>
      <c r="K14" s="125"/>
      <c r="L14" s="125"/>
      <c r="M14" s="125"/>
      <c r="N14" s="125"/>
      <c r="O14" s="125"/>
      <c r="P14" s="125"/>
      <c r="Q14" s="125"/>
      <c r="R14" s="125"/>
      <c r="S14" s="125"/>
      <c r="T14" s="125"/>
      <c r="U14" s="125"/>
    </row>
    <row r="15" spans="1:21" ht="88.5" customHeight="1" x14ac:dyDescent="0.2">
      <c r="A15" s="125"/>
      <c r="B15" s="220"/>
      <c r="C15" s="413" t="s">
        <v>334</v>
      </c>
      <c r="D15" s="414"/>
      <c r="E15" s="414"/>
      <c r="F15" s="414"/>
      <c r="G15" s="414"/>
      <c r="H15" s="414"/>
      <c r="I15" s="415"/>
      <c r="J15" s="222"/>
      <c r="K15" s="125"/>
      <c r="L15" s="215"/>
      <c r="M15" s="125"/>
      <c r="N15" s="125"/>
      <c r="O15" s="125"/>
      <c r="P15" s="125"/>
      <c r="Q15" s="125"/>
      <c r="R15" s="125"/>
      <c r="S15" s="125"/>
      <c r="T15" s="125"/>
      <c r="U15" s="125"/>
    </row>
    <row r="16" spans="1:21" ht="9" customHeight="1" x14ac:dyDescent="0.2">
      <c r="A16" s="125"/>
      <c r="B16" s="217"/>
      <c r="C16" s="218"/>
      <c r="D16" s="218"/>
      <c r="E16" s="218"/>
      <c r="F16" s="218"/>
      <c r="G16" s="218"/>
      <c r="H16" s="218"/>
      <c r="I16" s="218"/>
      <c r="J16" s="219"/>
      <c r="K16" s="125"/>
      <c r="L16" s="125"/>
      <c r="M16" s="125"/>
      <c r="N16" s="125"/>
      <c r="O16" s="125"/>
      <c r="P16" s="125"/>
      <c r="Q16" s="125"/>
      <c r="R16" s="125"/>
      <c r="S16" s="125"/>
      <c r="T16" s="125"/>
      <c r="U16" s="125"/>
    </row>
    <row r="17" spans="1:21" ht="23.25" customHeight="1" x14ac:dyDescent="0.2">
      <c r="A17" s="125"/>
      <c r="B17" s="408" t="s">
        <v>339</v>
      </c>
      <c r="C17" s="409"/>
      <c r="D17" s="409"/>
      <c r="E17" s="409"/>
      <c r="F17" s="409"/>
      <c r="G17" s="409"/>
      <c r="H17" s="409"/>
      <c r="I17" s="409"/>
      <c r="J17" s="410"/>
      <c r="K17" s="216"/>
      <c r="L17" s="125"/>
      <c r="M17" s="125"/>
      <c r="N17" s="125"/>
      <c r="O17" s="125"/>
      <c r="P17" s="125"/>
      <c r="Q17" s="125"/>
      <c r="R17" s="125"/>
      <c r="S17" s="125"/>
      <c r="T17" s="125"/>
      <c r="U17" s="125"/>
    </row>
    <row r="18" spans="1:21" ht="9" customHeight="1" x14ac:dyDescent="0.2">
      <c r="A18" s="125"/>
      <c r="B18" s="217"/>
      <c r="C18" s="218"/>
      <c r="D18" s="218"/>
      <c r="E18" s="218"/>
      <c r="F18" s="218"/>
      <c r="G18" s="218"/>
      <c r="H18" s="218"/>
      <c r="I18" s="218"/>
      <c r="J18" s="219"/>
      <c r="K18" s="125"/>
      <c r="L18" s="125"/>
      <c r="M18" s="125"/>
      <c r="N18" s="125"/>
      <c r="O18" s="125"/>
      <c r="P18" s="125"/>
      <c r="Q18" s="125"/>
      <c r="R18" s="125"/>
      <c r="S18" s="125"/>
      <c r="T18" s="125"/>
      <c r="U18" s="125"/>
    </row>
    <row r="19" spans="1:21" ht="53.25" customHeight="1" x14ac:dyDescent="0.2">
      <c r="A19" s="125"/>
      <c r="B19" s="220"/>
      <c r="C19" s="412" t="s">
        <v>290</v>
      </c>
      <c r="D19" s="416"/>
      <c r="E19" s="416"/>
      <c r="F19" s="416"/>
      <c r="G19" s="416"/>
      <c r="H19" s="416"/>
      <c r="I19" s="416"/>
      <c r="J19" s="221"/>
      <c r="K19" s="125"/>
      <c r="L19" s="125"/>
      <c r="M19" s="125"/>
      <c r="N19" s="125"/>
      <c r="O19" s="125"/>
      <c r="P19" s="125"/>
      <c r="Q19" s="125"/>
      <c r="R19" s="125"/>
      <c r="S19" s="125"/>
      <c r="T19" s="125"/>
      <c r="U19" s="125"/>
    </row>
    <row r="20" spans="1:21" ht="39" customHeight="1" x14ac:dyDescent="0.2">
      <c r="A20" s="125"/>
      <c r="B20" s="220"/>
      <c r="C20" s="407" t="s">
        <v>291</v>
      </c>
      <c r="D20" s="401"/>
      <c r="E20" s="401"/>
      <c r="F20" s="401"/>
      <c r="G20" s="401"/>
      <c r="H20" s="401"/>
      <c r="I20" s="401"/>
      <c r="J20" s="222"/>
      <c r="K20" s="125"/>
      <c r="L20" s="125"/>
      <c r="M20" s="125"/>
      <c r="N20" s="125"/>
      <c r="O20" s="125"/>
      <c r="P20" s="125"/>
      <c r="Q20" s="125"/>
      <c r="R20" s="125"/>
      <c r="S20" s="125"/>
      <c r="T20" s="125"/>
      <c r="U20" s="125"/>
    </row>
    <row r="21" spans="1:21" ht="33" customHeight="1" x14ac:dyDescent="0.2">
      <c r="A21" s="125"/>
      <c r="B21" s="220"/>
      <c r="C21" s="407" t="s">
        <v>292</v>
      </c>
      <c r="D21" s="401"/>
      <c r="E21" s="401"/>
      <c r="F21" s="401"/>
      <c r="G21" s="401"/>
      <c r="H21" s="401"/>
      <c r="I21" s="401"/>
      <c r="J21" s="222"/>
      <c r="K21" s="125"/>
      <c r="L21" s="125"/>
      <c r="M21" s="125"/>
      <c r="N21" s="125"/>
      <c r="O21" s="125"/>
      <c r="P21" s="125"/>
      <c r="Q21" s="125"/>
      <c r="R21" s="125"/>
      <c r="S21" s="125"/>
      <c r="T21" s="125"/>
      <c r="U21" s="125"/>
    </row>
    <row r="22" spans="1:21" ht="49.5" customHeight="1" x14ac:dyDescent="0.2">
      <c r="A22" s="125"/>
      <c r="B22" s="220"/>
      <c r="C22" s="407" t="s">
        <v>330</v>
      </c>
      <c r="D22" s="407"/>
      <c r="E22" s="407"/>
      <c r="F22" s="407"/>
      <c r="G22" s="407"/>
      <c r="H22" s="407"/>
      <c r="I22" s="407"/>
      <c r="J22" s="222"/>
      <c r="K22" s="125"/>
      <c r="L22" s="125"/>
      <c r="M22" s="125"/>
      <c r="N22" s="125"/>
      <c r="O22" s="125"/>
      <c r="P22" s="125"/>
      <c r="Q22" s="125"/>
      <c r="R22" s="125"/>
      <c r="S22" s="125"/>
      <c r="T22" s="125"/>
      <c r="U22" s="125"/>
    </row>
    <row r="23" spans="1:21" ht="51.75" customHeight="1" x14ac:dyDescent="0.2">
      <c r="A23" s="125"/>
      <c r="B23" s="220"/>
      <c r="C23" s="407" t="s">
        <v>335</v>
      </c>
      <c r="D23" s="401"/>
      <c r="E23" s="401"/>
      <c r="F23" s="401"/>
      <c r="G23" s="401"/>
      <c r="H23" s="401"/>
      <c r="I23" s="401"/>
      <c r="J23" s="222"/>
      <c r="K23" s="125"/>
      <c r="L23" s="125"/>
      <c r="M23" s="125"/>
      <c r="N23" s="125"/>
      <c r="O23" s="125"/>
      <c r="P23" s="125"/>
      <c r="Q23" s="125"/>
      <c r="R23" s="125"/>
      <c r="S23" s="125"/>
      <c r="T23" s="125"/>
      <c r="U23" s="125"/>
    </row>
    <row r="24" spans="1:21" ht="52.5" customHeight="1" x14ac:dyDescent="0.2">
      <c r="A24" s="125"/>
      <c r="B24" s="220"/>
      <c r="C24" s="407" t="s">
        <v>336</v>
      </c>
      <c r="D24" s="407"/>
      <c r="E24" s="407"/>
      <c r="F24" s="407"/>
      <c r="G24" s="407"/>
      <c r="H24" s="407"/>
      <c r="I24" s="407"/>
      <c r="J24" s="222"/>
      <c r="K24" s="125"/>
      <c r="L24" s="125"/>
      <c r="M24" s="125"/>
      <c r="N24" s="125"/>
      <c r="O24" s="125"/>
      <c r="P24" s="125"/>
      <c r="Q24" s="125"/>
      <c r="R24" s="125"/>
      <c r="S24" s="125"/>
      <c r="T24" s="125"/>
      <c r="U24" s="125"/>
    </row>
    <row r="25" spans="1:21" ht="146.25" customHeight="1" x14ac:dyDescent="0.2">
      <c r="A25" s="125"/>
      <c r="B25" s="220"/>
      <c r="C25" s="407" t="s">
        <v>340</v>
      </c>
      <c r="D25" s="407"/>
      <c r="E25" s="407"/>
      <c r="F25" s="407"/>
      <c r="G25" s="407"/>
      <c r="H25" s="407"/>
      <c r="I25" s="407"/>
      <c r="J25" s="222"/>
      <c r="K25" s="125"/>
      <c r="L25" s="125"/>
      <c r="M25" s="125"/>
      <c r="N25" s="125"/>
      <c r="O25" s="125"/>
      <c r="P25" s="125"/>
      <c r="Q25" s="125"/>
      <c r="R25" s="125"/>
      <c r="S25" s="125"/>
      <c r="T25" s="125"/>
      <c r="U25" s="125"/>
    </row>
    <row r="26" spans="1:21" ht="51.75" customHeight="1" x14ac:dyDescent="0.2">
      <c r="A26" s="125"/>
      <c r="B26" s="220"/>
      <c r="C26" s="407" t="s">
        <v>341</v>
      </c>
      <c r="D26" s="407"/>
      <c r="E26" s="407"/>
      <c r="F26" s="407"/>
      <c r="G26" s="407"/>
      <c r="H26" s="407"/>
      <c r="I26" s="407"/>
      <c r="J26" s="222"/>
      <c r="K26" s="125"/>
      <c r="L26" s="125"/>
      <c r="M26" s="125"/>
      <c r="N26" s="125"/>
      <c r="O26" s="125"/>
      <c r="P26" s="125"/>
      <c r="Q26" s="125"/>
      <c r="R26" s="125"/>
      <c r="S26" s="125"/>
      <c r="T26" s="125"/>
      <c r="U26" s="125"/>
    </row>
    <row r="27" spans="1:21" ht="100.5" customHeight="1" x14ac:dyDescent="0.2">
      <c r="A27" s="125"/>
      <c r="B27" s="220"/>
      <c r="C27" s="407" t="s">
        <v>342</v>
      </c>
      <c r="D27" s="407"/>
      <c r="E27" s="407"/>
      <c r="F27" s="407"/>
      <c r="G27" s="407"/>
      <c r="H27" s="407"/>
      <c r="I27" s="407"/>
      <c r="J27" s="222"/>
      <c r="K27" s="125"/>
      <c r="L27" s="125"/>
      <c r="M27" s="125"/>
      <c r="N27" s="125"/>
      <c r="O27" s="125"/>
      <c r="P27" s="125"/>
      <c r="Q27" s="125"/>
      <c r="R27" s="125"/>
      <c r="S27" s="125"/>
      <c r="T27" s="125"/>
      <c r="U27" s="125"/>
    </row>
    <row r="28" spans="1:21" ht="9" customHeight="1" x14ac:dyDescent="0.2">
      <c r="A28" s="125"/>
      <c r="B28" s="217"/>
      <c r="C28" s="218"/>
      <c r="D28" s="218"/>
      <c r="E28" s="218"/>
      <c r="F28" s="218"/>
      <c r="G28" s="218"/>
      <c r="H28" s="218"/>
      <c r="I28" s="218"/>
      <c r="J28" s="219"/>
      <c r="K28" s="125"/>
      <c r="L28" s="125"/>
      <c r="M28" s="125"/>
      <c r="N28" s="125"/>
      <c r="O28" s="125"/>
      <c r="P28" s="125"/>
      <c r="Q28" s="125"/>
      <c r="R28" s="125"/>
      <c r="S28" s="125"/>
      <c r="T28" s="125"/>
      <c r="U28" s="125"/>
    </row>
    <row r="29" spans="1:21" ht="63.75" customHeight="1" x14ac:dyDescent="0.2">
      <c r="A29" s="125"/>
      <c r="B29" s="220"/>
      <c r="C29" s="412" t="s">
        <v>293</v>
      </c>
      <c r="D29" s="412"/>
      <c r="E29" s="412"/>
      <c r="F29" s="412"/>
      <c r="G29" s="412"/>
      <c r="H29" s="412"/>
      <c r="I29" s="412"/>
      <c r="J29" s="221"/>
      <c r="K29" s="125"/>
      <c r="L29" s="125"/>
      <c r="M29" s="125"/>
      <c r="N29" s="125"/>
      <c r="O29" s="125"/>
      <c r="P29" s="125"/>
      <c r="Q29" s="125"/>
      <c r="R29" s="125"/>
      <c r="S29" s="125"/>
      <c r="T29" s="125"/>
      <c r="U29" s="125"/>
    </row>
    <row r="30" spans="1:21" ht="97.5" customHeight="1" x14ac:dyDescent="0.2">
      <c r="A30" s="125"/>
      <c r="B30" s="220"/>
      <c r="C30" s="407" t="s">
        <v>343</v>
      </c>
      <c r="D30" s="407"/>
      <c r="E30" s="407"/>
      <c r="F30" s="407"/>
      <c r="G30" s="407"/>
      <c r="H30" s="407"/>
      <c r="I30" s="407"/>
      <c r="J30" s="222"/>
      <c r="K30" s="125"/>
      <c r="L30" s="125"/>
      <c r="M30" s="125"/>
      <c r="N30" s="125"/>
      <c r="O30" s="125"/>
      <c r="P30" s="125"/>
      <c r="Q30" s="125"/>
      <c r="R30" s="125"/>
      <c r="S30" s="125"/>
      <c r="T30" s="125"/>
      <c r="U30" s="125"/>
    </row>
    <row r="31" spans="1:21" ht="130.5" customHeight="1" x14ac:dyDescent="0.2">
      <c r="A31" s="125"/>
      <c r="B31" s="220"/>
      <c r="C31" s="407" t="s">
        <v>344</v>
      </c>
      <c r="D31" s="407"/>
      <c r="E31" s="407"/>
      <c r="F31" s="407"/>
      <c r="G31" s="407"/>
      <c r="H31" s="407"/>
      <c r="I31" s="407"/>
      <c r="J31" s="222"/>
      <c r="K31" s="125"/>
      <c r="L31" s="125"/>
      <c r="M31" s="125"/>
      <c r="N31" s="125"/>
      <c r="O31" s="125"/>
      <c r="P31" s="125"/>
      <c r="Q31" s="125"/>
      <c r="R31" s="125"/>
      <c r="S31" s="125"/>
      <c r="T31" s="125"/>
      <c r="U31" s="125"/>
    </row>
    <row r="32" spans="1:21" ht="54" customHeight="1" x14ac:dyDescent="0.2">
      <c r="A32" s="125"/>
      <c r="B32" s="220"/>
      <c r="C32" s="407" t="s">
        <v>345</v>
      </c>
      <c r="D32" s="407"/>
      <c r="E32" s="407"/>
      <c r="F32" s="407"/>
      <c r="G32" s="407"/>
      <c r="H32" s="407"/>
      <c r="I32" s="407"/>
      <c r="J32" s="222"/>
      <c r="K32" s="125"/>
      <c r="L32" s="125"/>
      <c r="M32" s="125"/>
      <c r="N32" s="125"/>
      <c r="O32" s="125"/>
      <c r="P32" s="125"/>
      <c r="Q32" s="125"/>
      <c r="R32" s="125"/>
      <c r="S32" s="125"/>
      <c r="T32" s="125"/>
      <c r="U32" s="125"/>
    </row>
    <row r="33" spans="1:21" ht="49.5" customHeight="1" x14ac:dyDescent="0.2">
      <c r="A33" s="125"/>
      <c r="B33" s="220"/>
      <c r="C33" s="407" t="s">
        <v>346</v>
      </c>
      <c r="D33" s="407"/>
      <c r="E33" s="407"/>
      <c r="F33" s="407"/>
      <c r="G33" s="407"/>
      <c r="H33" s="407"/>
      <c r="I33" s="407"/>
      <c r="J33" s="222"/>
      <c r="K33" s="125"/>
      <c r="L33" s="125"/>
      <c r="M33" s="125"/>
      <c r="N33" s="125"/>
      <c r="O33" s="125"/>
      <c r="P33" s="125"/>
      <c r="Q33" s="125"/>
      <c r="R33" s="125"/>
      <c r="S33" s="125"/>
      <c r="T33" s="125"/>
      <c r="U33" s="125"/>
    </row>
    <row r="34" spans="1:21" ht="9" customHeight="1" x14ac:dyDescent="0.2">
      <c r="A34" s="125"/>
      <c r="B34" s="217"/>
      <c r="C34" s="218"/>
      <c r="D34" s="218"/>
      <c r="E34" s="218"/>
      <c r="F34" s="218"/>
      <c r="G34" s="218"/>
      <c r="H34" s="218"/>
      <c r="I34" s="218"/>
      <c r="J34" s="219"/>
      <c r="K34" s="125"/>
      <c r="L34" s="125"/>
      <c r="M34" s="125"/>
      <c r="N34" s="125"/>
      <c r="O34" s="125"/>
      <c r="P34" s="125"/>
      <c r="Q34" s="125"/>
      <c r="R34" s="125"/>
      <c r="S34" s="125"/>
      <c r="T34" s="125"/>
      <c r="U34" s="125"/>
    </row>
    <row r="35" spans="1:21" ht="87" customHeight="1" x14ac:dyDescent="0.2">
      <c r="A35" s="125"/>
      <c r="B35" s="220"/>
      <c r="C35" s="407" t="s">
        <v>287</v>
      </c>
      <c r="D35" s="407"/>
      <c r="E35" s="407"/>
      <c r="F35" s="407"/>
      <c r="G35" s="407"/>
      <c r="H35" s="407"/>
      <c r="I35" s="407"/>
      <c r="J35" s="221"/>
      <c r="K35" s="125"/>
      <c r="L35" s="125"/>
      <c r="M35" s="125"/>
      <c r="N35" s="125"/>
      <c r="O35" s="125"/>
      <c r="P35" s="125"/>
      <c r="Q35" s="125"/>
      <c r="R35" s="125"/>
      <c r="S35" s="125"/>
      <c r="T35" s="125"/>
      <c r="U35" s="125"/>
    </row>
    <row r="36" spans="1:21" ht="127.5" customHeight="1" x14ac:dyDescent="0.2">
      <c r="A36" s="125"/>
      <c r="B36" s="220"/>
      <c r="C36" s="407" t="s">
        <v>288</v>
      </c>
      <c r="D36" s="407"/>
      <c r="E36" s="407"/>
      <c r="F36" s="407"/>
      <c r="G36" s="407"/>
      <c r="H36" s="407"/>
      <c r="I36" s="407"/>
      <c r="J36" s="222"/>
      <c r="K36" s="125"/>
      <c r="L36" s="125"/>
      <c r="M36" s="125"/>
      <c r="N36" s="125"/>
      <c r="O36" s="125"/>
      <c r="P36" s="125"/>
      <c r="Q36" s="125"/>
      <c r="R36" s="125"/>
      <c r="S36" s="125"/>
      <c r="T36" s="125"/>
      <c r="U36" s="125"/>
    </row>
    <row r="37" spans="1:21" ht="139.5" customHeight="1" x14ac:dyDescent="0.2">
      <c r="A37" s="125"/>
      <c r="B37" s="220"/>
      <c r="C37" s="407" t="s">
        <v>289</v>
      </c>
      <c r="D37" s="407"/>
      <c r="E37" s="407"/>
      <c r="F37" s="407"/>
      <c r="G37" s="407"/>
      <c r="H37" s="407"/>
      <c r="I37" s="407"/>
      <c r="J37" s="222"/>
      <c r="K37" s="125"/>
      <c r="L37" s="125"/>
      <c r="M37" s="125"/>
      <c r="N37" s="125"/>
      <c r="O37" s="125"/>
      <c r="P37" s="125"/>
      <c r="Q37" s="125"/>
      <c r="R37" s="125"/>
      <c r="S37" s="125"/>
      <c r="T37" s="125"/>
      <c r="U37" s="125"/>
    </row>
    <row r="38" spans="1:21" ht="12" customHeight="1" x14ac:dyDescent="0.2">
      <c r="A38" s="125"/>
      <c r="B38" s="217"/>
      <c r="C38" s="218"/>
      <c r="D38" s="218"/>
      <c r="E38" s="218"/>
      <c r="F38" s="218"/>
      <c r="G38" s="218"/>
      <c r="H38" s="218"/>
      <c r="I38" s="218"/>
      <c r="J38" s="219"/>
      <c r="K38" s="125"/>
      <c r="L38" s="125"/>
      <c r="M38" s="125"/>
      <c r="N38" s="125"/>
      <c r="O38" s="125"/>
      <c r="P38" s="125"/>
      <c r="Q38" s="125"/>
      <c r="R38" s="125"/>
      <c r="S38" s="125"/>
      <c r="T38" s="125"/>
      <c r="U38" s="125"/>
    </row>
    <row r="39" spans="1:21" ht="88.5" customHeight="1" x14ac:dyDescent="0.2">
      <c r="A39" s="125"/>
      <c r="B39" s="220"/>
      <c r="C39" s="404" t="s">
        <v>231</v>
      </c>
      <c r="D39" s="405"/>
      <c r="E39" s="405"/>
      <c r="F39" s="405"/>
      <c r="G39" s="405"/>
      <c r="H39" s="405"/>
      <c r="I39" s="406"/>
      <c r="J39" s="222"/>
      <c r="K39" s="125"/>
      <c r="L39" s="215"/>
      <c r="M39" s="125"/>
      <c r="N39" s="125"/>
      <c r="O39" s="125"/>
      <c r="P39" s="125"/>
      <c r="Q39" s="125"/>
      <c r="R39" s="125"/>
      <c r="S39" s="125"/>
      <c r="T39" s="125"/>
      <c r="U39" s="125"/>
    </row>
    <row r="40" spans="1:21" ht="12" customHeight="1" x14ac:dyDescent="0.2">
      <c r="A40" s="125"/>
      <c r="B40" s="223"/>
      <c r="C40" s="224"/>
      <c r="D40" s="224"/>
      <c r="E40" s="224"/>
      <c r="F40" s="224"/>
      <c r="G40" s="224"/>
      <c r="H40" s="224"/>
      <c r="I40" s="224"/>
      <c r="J40" s="225"/>
      <c r="K40" s="125"/>
      <c r="L40" s="125"/>
      <c r="M40" s="125"/>
      <c r="N40" s="125"/>
      <c r="O40" s="125"/>
      <c r="P40" s="125"/>
      <c r="Q40" s="125"/>
      <c r="R40" s="125"/>
      <c r="S40" s="125"/>
      <c r="T40" s="125"/>
      <c r="U40" s="125"/>
    </row>
    <row r="41" spans="1:21" ht="9" customHeight="1" x14ac:dyDescent="0.2">
      <c r="A41" s="125"/>
      <c r="B41" s="217"/>
      <c r="C41" s="218"/>
      <c r="D41" s="218"/>
      <c r="E41" s="218"/>
      <c r="F41" s="218"/>
      <c r="G41" s="218"/>
      <c r="H41" s="218"/>
      <c r="I41" s="218"/>
      <c r="J41" s="219"/>
      <c r="K41" s="125"/>
      <c r="L41" s="125"/>
      <c r="M41" s="125"/>
      <c r="N41" s="125"/>
      <c r="O41" s="125"/>
      <c r="P41" s="125"/>
      <c r="Q41" s="125"/>
      <c r="R41" s="125"/>
      <c r="S41" s="125"/>
      <c r="T41" s="125"/>
      <c r="U41" s="125"/>
    </row>
    <row r="42" spans="1:21" ht="23.25" customHeight="1" x14ac:dyDescent="0.2">
      <c r="A42" s="125"/>
      <c r="B42" s="408" t="s">
        <v>217</v>
      </c>
      <c r="C42" s="409"/>
      <c r="D42" s="409"/>
      <c r="E42" s="409"/>
      <c r="F42" s="409"/>
      <c r="G42" s="409"/>
      <c r="H42" s="409"/>
      <c r="I42" s="409"/>
      <c r="J42" s="410"/>
      <c r="K42" s="216"/>
      <c r="L42" s="125"/>
      <c r="M42" s="125"/>
      <c r="N42" s="125"/>
      <c r="O42" s="125"/>
      <c r="P42" s="125"/>
      <c r="Q42" s="125"/>
      <c r="R42" s="125"/>
      <c r="S42" s="125"/>
      <c r="T42" s="125"/>
      <c r="U42" s="125"/>
    </row>
    <row r="43" spans="1:21" ht="9" customHeight="1" x14ac:dyDescent="0.2">
      <c r="A43" s="125"/>
      <c r="B43" s="217"/>
      <c r="C43" s="218"/>
      <c r="D43" s="218"/>
      <c r="E43" s="218"/>
      <c r="F43" s="218"/>
      <c r="G43" s="218"/>
      <c r="H43" s="218"/>
      <c r="I43" s="218"/>
      <c r="J43" s="219"/>
      <c r="K43" s="125"/>
      <c r="L43" s="125"/>
      <c r="M43" s="125"/>
      <c r="N43" s="125"/>
      <c r="O43" s="125"/>
      <c r="P43" s="125"/>
      <c r="Q43" s="125"/>
      <c r="R43" s="125"/>
      <c r="S43" s="125"/>
      <c r="T43" s="125"/>
      <c r="U43" s="125"/>
    </row>
    <row r="44" spans="1:21" ht="33" customHeight="1" x14ac:dyDescent="0.2">
      <c r="A44" s="125"/>
      <c r="B44" s="220"/>
      <c r="C44" s="401" t="s">
        <v>218</v>
      </c>
      <c r="D44" s="401"/>
      <c r="E44" s="401"/>
      <c r="F44" s="401"/>
      <c r="G44" s="401"/>
      <c r="H44" s="401"/>
      <c r="I44" s="401"/>
      <c r="J44" s="222"/>
      <c r="K44" s="125"/>
      <c r="L44" s="215"/>
      <c r="M44" s="125"/>
      <c r="N44" s="125"/>
      <c r="O44" s="125"/>
      <c r="P44" s="125"/>
      <c r="Q44" s="125"/>
      <c r="R44" s="125"/>
      <c r="S44" s="125"/>
      <c r="T44" s="125"/>
      <c r="U44" s="125"/>
    </row>
    <row r="45" spans="1:21" ht="13.5" customHeight="1" x14ac:dyDescent="0.2">
      <c r="A45" s="125"/>
      <c r="B45" s="220"/>
      <c r="C45" s="205"/>
      <c r="D45" s="205"/>
      <c r="E45" s="205"/>
      <c r="F45" s="205"/>
      <c r="G45" s="205"/>
      <c r="H45" s="205"/>
      <c r="I45" s="205"/>
      <c r="J45" s="222"/>
      <c r="K45" s="125"/>
      <c r="L45" s="215"/>
      <c r="M45" s="125"/>
      <c r="N45" s="125"/>
      <c r="O45" s="125"/>
      <c r="P45" s="125"/>
      <c r="Q45" s="125"/>
      <c r="R45" s="125"/>
      <c r="S45" s="125"/>
      <c r="T45" s="125"/>
      <c r="U45" s="125"/>
    </row>
    <row r="46" spans="1:21" ht="67.5" customHeight="1" x14ac:dyDescent="0.2">
      <c r="A46" s="125"/>
      <c r="B46" s="220"/>
      <c r="C46" s="403" t="s">
        <v>318</v>
      </c>
      <c r="D46" s="403"/>
      <c r="E46" s="403"/>
      <c r="F46" s="403"/>
      <c r="G46" s="403"/>
      <c r="H46" s="403"/>
      <c r="I46" s="403"/>
      <c r="J46" s="222"/>
      <c r="K46" s="125"/>
      <c r="L46" s="215"/>
      <c r="M46" s="125"/>
      <c r="N46" s="125"/>
      <c r="O46" s="125"/>
      <c r="P46" s="125"/>
      <c r="Q46" s="125"/>
      <c r="R46" s="125"/>
      <c r="S46" s="125"/>
      <c r="T46" s="125"/>
      <c r="U46" s="125"/>
    </row>
    <row r="47" spans="1:21" ht="127.5" customHeight="1" x14ac:dyDescent="0.2">
      <c r="A47" s="125"/>
      <c r="B47" s="226"/>
      <c r="C47" s="402" t="s">
        <v>319</v>
      </c>
      <c r="D47" s="402"/>
      <c r="E47" s="402"/>
      <c r="F47" s="402"/>
      <c r="G47" s="402"/>
      <c r="H47" s="402"/>
      <c r="I47" s="402"/>
      <c r="J47" s="227"/>
      <c r="K47" s="125"/>
      <c r="L47" s="215"/>
      <c r="M47" s="125"/>
      <c r="N47" s="125"/>
      <c r="O47" s="125"/>
      <c r="P47" s="125"/>
      <c r="Q47" s="125"/>
      <c r="R47" s="125"/>
      <c r="S47" s="125"/>
      <c r="T47" s="125"/>
      <c r="U47" s="125"/>
    </row>
    <row r="48" spans="1:21" x14ac:dyDescent="0.2">
      <c r="A48" s="125"/>
      <c r="B48" s="215"/>
      <c r="C48" s="228"/>
      <c r="D48" s="228"/>
      <c r="E48" s="228"/>
      <c r="F48" s="228"/>
      <c r="G48" s="228"/>
      <c r="H48" s="228"/>
      <c r="I48" s="228"/>
      <c r="J48" s="228"/>
      <c r="K48" s="125"/>
      <c r="L48" s="125"/>
      <c r="M48" s="125"/>
      <c r="N48" s="125"/>
      <c r="O48" s="125"/>
      <c r="P48" s="125"/>
      <c r="Q48" s="125"/>
      <c r="R48" s="125"/>
      <c r="S48" s="125"/>
      <c r="T48" s="125"/>
      <c r="U48" s="125"/>
    </row>
    <row r="49" spans="1:21" x14ac:dyDescent="0.2">
      <c r="A49" s="125"/>
      <c r="B49" s="215"/>
      <c r="C49" s="228"/>
      <c r="D49" s="228"/>
      <c r="E49" s="228"/>
      <c r="F49" s="228"/>
      <c r="G49" s="228"/>
      <c r="H49" s="228"/>
      <c r="I49" s="228"/>
      <c r="J49" s="228"/>
      <c r="K49" s="125"/>
      <c r="L49" s="125"/>
      <c r="M49" s="125"/>
      <c r="N49" s="125"/>
      <c r="O49" s="125"/>
      <c r="P49" s="125"/>
      <c r="Q49" s="125"/>
      <c r="R49" s="125"/>
      <c r="S49" s="125"/>
      <c r="T49" s="125"/>
      <c r="U49" s="125"/>
    </row>
    <row r="50" spans="1:21" x14ac:dyDescent="0.2">
      <c r="A50" s="125"/>
      <c r="B50" s="215"/>
      <c r="C50" s="228"/>
      <c r="D50" s="228"/>
      <c r="E50" s="228"/>
      <c r="F50" s="228"/>
      <c r="G50" s="228"/>
      <c r="H50" s="228"/>
      <c r="I50" s="228"/>
      <c r="J50" s="228"/>
      <c r="K50" s="125"/>
      <c r="L50" s="125"/>
      <c r="M50" s="125"/>
      <c r="N50" s="125"/>
      <c r="O50" s="125"/>
      <c r="P50" s="125"/>
      <c r="Q50" s="125"/>
      <c r="R50" s="125"/>
      <c r="S50" s="125"/>
      <c r="T50" s="125"/>
      <c r="U50" s="125"/>
    </row>
    <row r="51" spans="1:21" x14ac:dyDescent="0.2">
      <c r="A51" s="125"/>
      <c r="B51" s="215"/>
      <c r="C51" s="228"/>
      <c r="D51" s="228"/>
      <c r="E51" s="228"/>
      <c r="F51" s="228"/>
      <c r="G51" s="228"/>
      <c r="H51" s="228"/>
      <c r="I51" s="228"/>
      <c r="J51" s="228"/>
      <c r="K51" s="125"/>
      <c r="L51" s="125"/>
      <c r="M51" s="125"/>
      <c r="N51" s="125"/>
      <c r="O51" s="125"/>
      <c r="P51" s="125"/>
      <c r="Q51" s="125"/>
      <c r="R51" s="125"/>
      <c r="S51" s="125"/>
      <c r="T51" s="125"/>
      <c r="U51" s="125"/>
    </row>
    <row r="52" spans="1:21" x14ac:dyDescent="0.2">
      <c r="A52" s="125"/>
      <c r="B52" s="215"/>
      <c r="C52" s="228"/>
      <c r="D52" s="228"/>
      <c r="E52" s="228"/>
      <c r="F52" s="228"/>
      <c r="G52" s="228"/>
      <c r="H52" s="228"/>
      <c r="I52" s="228"/>
      <c r="J52" s="228"/>
      <c r="K52" s="125"/>
      <c r="L52" s="125"/>
      <c r="M52" s="125"/>
      <c r="N52" s="125"/>
      <c r="O52" s="125"/>
      <c r="P52" s="125"/>
      <c r="Q52" s="125"/>
      <c r="R52" s="125"/>
      <c r="S52" s="125"/>
      <c r="T52" s="125"/>
      <c r="U52" s="125"/>
    </row>
    <row r="53" spans="1:21" x14ac:dyDescent="0.2">
      <c r="A53" s="125"/>
      <c r="B53" s="215"/>
      <c r="C53" s="228"/>
      <c r="D53" s="228"/>
      <c r="E53" s="228"/>
      <c r="F53" s="228"/>
      <c r="G53" s="228"/>
      <c r="H53" s="228"/>
      <c r="I53" s="228"/>
      <c r="J53" s="228"/>
      <c r="K53" s="125"/>
      <c r="L53" s="125"/>
      <c r="M53" s="125"/>
      <c r="N53" s="125"/>
      <c r="O53" s="125"/>
      <c r="P53" s="125"/>
      <c r="Q53" s="125"/>
      <c r="R53" s="125"/>
      <c r="S53" s="125"/>
      <c r="T53" s="125"/>
      <c r="U53" s="125"/>
    </row>
    <row r="54" spans="1:21" x14ac:dyDescent="0.2">
      <c r="A54" s="125"/>
      <c r="B54" s="215"/>
      <c r="C54" s="215"/>
      <c r="D54" s="215"/>
      <c r="E54" s="215"/>
      <c r="F54" s="215"/>
      <c r="G54" s="215"/>
      <c r="H54" s="215"/>
      <c r="I54" s="215"/>
      <c r="J54" s="215"/>
      <c r="K54" s="125"/>
      <c r="L54" s="125"/>
      <c r="M54" s="125"/>
      <c r="N54" s="125"/>
      <c r="O54" s="125"/>
      <c r="P54" s="125"/>
      <c r="Q54" s="125"/>
      <c r="R54" s="125"/>
      <c r="S54" s="125"/>
      <c r="T54" s="125"/>
      <c r="U54" s="125"/>
    </row>
    <row r="55" spans="1:21" x14ac:dyDescent="0.2">
      <c r="A55" s="125"/>
      <c r="K55" s="125"/>
      <c r="L55" s="125"/>
      <c r="M55" s="125"/>
      <c r="N55" s="125"/>
      <c r="O55" s="125"/>
      <c r="P55" s="125"/>
      <c r="Q55" s="125"/>
      <c r="R55" s="125"/>
      <c r="S55" s="125"/>
      <c r="T55" s="125"/>
      <c r="U55" s="125"/>
    </row>
    <row r="56" spans="1:21" x14ac:dyDescent="0.2">
      <c r="A56" s="125"/>
      <c r="K56" s="125"/>
      <c r="L56" s="125"/>
      <c r="M56" s="125"/>
      <c r="N56" s="125"/>
      <c r="O56" s="125"/>
      <c r="P56" s="125"/>
      <c r="Q56" s="125"/>
      <c r="R56" s="125"/>
      <c r="S56" s="125"/>
      <c r="T56" s="125"/>
      <c r="U56" s="125"/>
    </row>
    <row r="57" spans="1:21" x14ac:dyDescent="0.2">
      <c r="A57" s="125"/>
      <c r="K57" s="125"/>
      <c r="L57" s="125"/>
      <c r="M57" s="125"/>
      <c r="N57" s="125"/>
      <c r="O57" s="125"/>
      <c r="P57" s="125"/>
      <c r="Q57" s="125"/>
      <c r="R57" s="125"/>
      <c r="S57" s="125"/>
      <c r="T57" s="125"/>
      <c r="U57" s="125"/>
    </row>
    <row r="58" spans="1:21" x14ac:dyDescent="0.2">
      <c r="A58" s="125"/>
      <c r="K58" s="125"/>
      <c r="L58" s="125"/>
      <c r="M58" s="125"/>
      <c r="N58" s="125"/>
      <c r="O58" s="125"/>
      <c r="P58" s="125"/>
      <c r="Q58" s="125"/>
      <c r="R58" s="125"/>
      <c r="S58" s="125"/>
      <c r="T58" s="125"/>
      <c r="U58" s="125"/>
    </row>
    <row r="59" spans="1:21" x14ac:dyDescent="0.2">
      <c r="A59" s="125"/>
      <c r="K59" s="125"/>
      <c r="L59" s="125"/>
      <c r="M59" s="125"/>
      <c r="N59" s="125"/>
      <c r="O59" s="125"/>
      <c r="P59" s="125"/>
      <c r="Q59" s="125"/>
      <c r="R59" s="125"/>
      <c r="S59" s="125"/>
      <c r="T59" s="125"/>
      <c r="U59" s="125"/>
    </row>
    <row r="60" spans="1:21" x14ac:dyDescent="0.2">
      <c r="A60" s="125"/>
      <c r="K60" s="125"/>
      <c r="L60" s="125"/>
      <c r="M60" s="125"/>
      <c r="N60" s="125"/>
      <c r="O60" s="125"/>
      <c r="P60" s="125"/>
      <c r="Q60" s="125"/>
      <c r="R60" s="125"/>
      <c r="S60" s="125"/>
      <c r="T60" s="125"/>
      <c r="U60" s="125"/>
    </row>
    <row r="61" spans="1:21" x14ac:dyDescent="0.2">
      <c r="A61" s="125"/>
      <c r="K61" s="125"/>
      <c r="L61" s="125"/>
      <c r="M61" s="125"/>
      <c r="N61" s="125"/>
      <c r="O61" s="125"/>
      <c r="P61" s="125"/>
      <c r="Q61" s="125"/>
      <c r="R61" s="125"/>
      <c r="S61" s="125"/>
      <c r="T61" s="125"/>
      <c r="U61" s="125"/>
    </row>
    <row r="62" spans="1:21" x14ac:dyDescent="0.2">
      <c r="A62" s="125"/>
    </row>
    <row r="63" spans="1:21" x14ac:dyDescent="0.2">
      <c r="A63" s="125"/>
    </row>
    <row r="64" spans="1:21" s="125" customFormat="1" x14ac:dyDescent="0.2">
      <c r="K64" s="229"/>
      <c r="L64" s="214"/>
      <c r="M64" s="214"/>
      <c r="N64" s="214"/>
      <c r="O64" s="214"/>
      <c r="P64" s="214"/>
      <c r="Q64" s="214"/>
      <c r="R64" s="214"/>
      <c r="S64" s="214"/>
      <c r="T64" s="214"/>
      <c r="U64" s="214"/>
    </row>
    <row r="65" spans="11:21" s="125" customFormat="1" x14ac:dyDescent="0.2">
      <c r="K65" s="229"/>
      <c r="L65" s="214"/>
      <c r="M65" s="214"/>
      <c r="N65" s="214"/>
      <c r="O65" s="214"/>
      <c r="P65" s="214"/>
      <c r="Q65" s="214"/>
      <c r="R65" s="214"/>
      <c r="S65" s="214"/>
      <c r="T65" s="214"/>
      <c r="U65" s="214"/>
    </row>
    <row r="66" spans="11:21" s="125" customFormat="1" x14ac:dyDescent="0.2">
      <c r="K66" s="229"/>
      <c r="L66" s="214"/>
      <c r="M66" s="214"/>
      <c r="N66" s="214"/>
      <c r="O66" s="214"/>
      <c r="P66" s="214"/>
      <c r="Q66" s="214"/>
      <c r="R66" s="214"/>
      <c r="S66" s="214"/>
      <c r="T66" s="214"/>
      <c r="U66" s="214"/>
    </row>
    <row r="67" spans="11:21" s="125" customFormat="1" x14ac:dyDescent="0.2">
      <c r="K67" s="229"/>
      <c r="L67" s="214"/>
      <c r="M67" s="214"/>
      <c r="N67" s="214"/>
      <c r="O67" s="214"/>
      <c r="P67" s="214"/>
      <c r="Q67" s="214"/>
      <c r="R67" s="214"/>
      <c r="S67" s="214"/>
      <c r="T67" s="214"/>
      <c r="U67" s="214"/>
    </row>
    <row r="68" spans="11:21" s="125" customFormat="1" x14ac:dyDescent="0.2">
      <c r="K68" s="229"/>
      <c r="L68" s="214"/>
      <c r="M68" s="214"/>
      <c r="N68" s="214"/>
      <c r="O68" s="214"/>
      <c r="P68" s="214"/>
      <c r="Q68" s="214"/>
      <c r="R68" s="214"/>
      <c r="S68" s="214"/>
      <c r="T68" s="214"/>
      <c r="U68" s="214"/>
    </row>
    <row r="69" spans="11:21" s="125" customFormat="1" x14ac:dyDescent="0.2">
      <c r="K69" s="229"/>
      <c r="L69" s="214"/>
      <c r="M69" s="214"/>
      <c r="N69" s="214"/>
      <c r="O69" s="214"/>
      <c r="P69" s="214"/>
      <c r="Q69" s="214"/>
      <c r="R69" s="214"/>
      <c r="S69" s="214"/>
      <c r="T69" s="214"/>
      <c r="U69" s="214"/>
    </row>
    <row r="70" spans="11:21" s="125" customFormat="1" x14ac:dyDescent="0.2">
      <c r="K70" s="229"/>
      <c r="L70" s="214"/>
      <c r="M70" s="214"/>
      <c r="N70" s="214"/>
      <c r="O70" s="214"/>
      <c r="P70" s="214"/>
      <c r="Q70" s="214"/>
      <c r="R70" s="214"/>
      <c r="S70" s="214"/>
      <c r="T70" s="214"/>
      <c r="U70" s="214"/>
    </row>
    <row r="71" spans="11:21" s="125" customFormat="1" x14ac:dyDescent="0.2">
      <c r="K71" s="229"/>
      <c r="L71" s="214"/>
      <c r="M71" s="214"/>
      <c r="N71" s="214"/>
      <c r="O71" s="214"/>
      <c r="P71" s="214"/>
      <c r="Q71" s="214"/>
      <c r="R71" s="214"/>
      <c r="S71" s="214"/>
      <c r="T71" s="214"/>
      <c r="U71" s="214"/>
    </row>
    <row r="72" spans="11:21" s="125" customFormat="1" x14ac:dyDescent="0.2">
      <c r="K72" s="229"/>
      <c r="L72" s="214"/>
      <c r="M72" s="214"/>
      <c r="N72" s="214"/>
      <c r="O72" s="214"/>
      <c r="P72" s="214"/>
      <c r="Q72" s="214"/>
      <c r="R72" s="214"/>
      <c r="S72" s="214"/>
      <c r="T72" s="214"/>
      <c r="U72" s="214"/>
    </row>
    <row r="73" spans="11:21" s="125" customFormat="1" x14ac:dyDescent="0.2">
      <c r="K73" s="229"/>
      <c r="L73" s="214"/>
      <c r="M73" s="214"/>
      <c r="N73" s="214"/>
      <c r="O73" s="214"/>
      <c r="P73" s="214"/>
      <c r="Q73" s="214"/>
      <c r="R73" s="214"/>
      <c r="S73" s="214"/>
      <c r="T73" s="214"/>
      <c r="U73" s="214"/>
    </row>
    <row r="74" spans="11:21" s="125" customFormat="1" x14ac:dyDescent="0.2">
      <c r="K74" s="229"/>
      <c r="L74" s="214"/>
      <c r="M74" s="214"/>
      <c r="N74" s="214"/>
      <c r="O74" s="214"/>
      <c r="P74" s="214"/>
      <c r="Q74" s="214"/>
      <c r="R74" s="214"/>
      <c r="S74" s="214"/>
      <c r="T74" s="214"/>
      <c r="U74" s="214"/>
    </row>
    <row r="75" spans="11:21" s="125" customFormat="1" x14ac:dyDescent="0.2">
      <c r="K75" s="229"/>
      <c r="L75" s="214"/>
      <c r="M75" s="214"/>
      <c r="N75" s="214"/>
      <c r="O75" s="214"/>
      <c r="P75" s="214"/>
      <c r="Q75" s="214"/>
      <c r="R75" s="214"/>
      <c r="S75" s="214"/>
      <c r="T75" s="214"/>
      <c r="U75" s="214"/>
    </row>
    <row r="76" spans="11:21" s="125" customFormat="1" x14ac:dyDescent="0.2">
      <c r="K76" s="229"/>
      <c r="L76" s="214"/>
      <c r="M76" s="214"/>
      <c r="N76" s="214"/>
      <c r="O76" s="214"/>
      <c r="P76" s="214"/>
      <c r="Q76" s="214"/>
      <c r="R76" s="214"/>
      <c r="S76" s="214"/>
      <c r="T76" s="214"/>
      <c r="U76" s="214"/>
    </row>
    <row r="77" spans="11:21" s="125" customFormat="1" x14ac:dyDescent="0.2">
      <c r="K77" s="229"/>
      <c r="L77" s="214"/>
      <c r="M77" s="214"/>
      <c r="N77" s="214"/>
      <c r="O77" s="214"/>
      <c r="P77" s="214"/>
      <c r="Q77" s="214"/>
      <c r="R77" s="214"/>
      <c r="S77" s="214"/>
      <c r="T77" s="214"/>
      <c r="U77" s="214"/>
    </row>
    <row r="78" spans="11:21" s="125" customFormat="1" x14ac:dyDescent="0.2">
      <c r="K78" s="229"/>
      <c r="L78" s="214"/>
      <c r="M78" s="214"/>
      <c r="N78" s="214"/>
      <c r="O78" s="214"/>
      <c r="P78" s="214"/>
      <c r="Q78" s="214"/>
      <c r="R78" s="214"/>
      <c r="S78" s="214"/>
      <c r="T78" s="214"/>
      <c r="U78" s="214"/>
    </row>
    <row r="79" spans="11:21" s="125" customFormat="1" x14ac:dyDescent="0.2">
      <c r="K79" s="229"/>
      <c r="L79" s="214"/>
      <c r="M79" s="214"/>
      <c r="N79" s="214"/>
      <c r="O79" s="214"/>
      <c r="P79" s="214"/>
      <c r="Q79" s="214"/>
      <c r="R79" s="214"/>
      <c r="S79" s="214"/>
      <c r="T79" s="214"/>
      <c r="U79" s="214"/>
    </row>
    <row r="80" spans="11:21" s="125" customFormat="1" x14ac:dyDescent="0.2">
      <c r="K80" s="229"/>
      <c r="L80" s="214"/>
      <c r="M80" s="214"/>
      <c r="N80" s="214"/>
      <c r="O80" s="214"/>
      <c r="P80" s="214"/>
      <c r="Q80" s="214"/>
      <c r="R80" s="214"/>
      <c r="S80" s="214"/>
      <c r="T80" s="214"/>
      <c r="U80" s="214"/>
    </row>
    <row r="81" spans="11:21" s="125" customFormat="1" x14ac:dyDescent="0.2">
      <c r="K81" s="229"/>
      <c r="L81" s="214"/>
      <c r="M81" s="214"/>
      <c r="N81" s="214"/>
      <c r="O81" s="214"/>
      <c r="P81" s="214"/>
      <c r="Q81" s="214"/>
      <c r="R81" s="214"/>
      <c r="S81" s="214"/>
      <c r="T81" s="214"/>
      <c r="U81" s="214"/>
    </row>
    <row r="82" spans="11:21" s="125" customFormat="1" x14ac:dyDescent="0.2">
      <c r="K82" s="229"/>
      <c r="L82" s="214"/>
      <c r="M82" s="214"/>
      <c r="N82" s="214"/>
      <c r="O82" s="214"/>
      <c r="P82" s="214"/>
      <c r="Q82" s="214"/>
      <c r="R82" s="214"/>
      <c r="S82" s="214"/>
      <c r="T82" s="214"/>
      <c r="U82" s="214"/>
    </row>
    <row r="83" spans="11:21" s="125" customFormat="1" x14ac:dyDescent="0.2">
      <c r="K83" s="229"/>
      <c r="L83" s="214"/>
      <c r="M83" s="214"/>
      <c r="N83" s="214"/>
      <c r="O83" s="214"/>
      <c r="P83" s="214"/>
      <c r="Q83" s="214"/>
      <c r="R83" s="214"/>
      <c r="S83" s="214"/>
      <c r="T83" s="214"/>
      <c r="U83" s="214"/>
    </row>
  </sheetData>
  <mergeCells count="31">
    <mergeCell ref="A1:XFD1"/>
    <mergeCell ref="A5:C5"/>
    <mergeCell ref="C21:I21"/>
    <mergeCell ref="C23:I23"/>
    <mergeCell ref="C29:I29"/>
    <mergeCell ref="C24:I24"/>
    <mergeCell ref="C25:I25"/>
    <mergeCell ref="C15:I15"/>
    <mergeCell ref="B17:J17"/>
    <mergeCell ref="C19:I19"/>
    <mergeCell ref="C20:I20"/>
    <mergeCell ref="B7:J7"/>
    <mergeCell ref="C9:I9"/>
    <mergeCell ref="B11:J11"/>
    <mergeCell ref="C13:I13"/>
    <mergeCell ref="C14:I14"/>
    <mergeCell ref="C36:I36"/>
    <mergeCell ref="C26:I26"/>
    <mergeCell ref="C27:I27"/>
    <mergeCell ref="C22:I22"/>
    <mergeCell ref="C32:I32"/>
    <mergeCell ref="C33:I33"/>
    <mergeCell ref="C30:I30"/>
    <mergeCell ref="C31:I31"/>
    <mergeCell ref="C35:I35"/>
    <mergeCell ref="C44:I44"/>
    <mergeCell ref="C47:I47"/>
    <mergeCell ref="C46:I46"/>
    <mergeCell ref="C39:I39"/>
    <mergeCell ref="C37:I37"/>
    <mergeCell ref="B42:J42"/>
  </mergeCells>
  <phoneticPr fontId="27" type="noConversion"/>
  <hyperlinks>
    <hyperlink ref="A5" location="Overview!A1" display="Overview"/>
    <hyperlink ref="A5:C5" location="Overview!A1" display="Back to Overview"/>
  </hyperlinks>
  <pageMargins left="0.52958333333333329" right="0.75" top="0.50507246376811599" bottom="1" header="0.5" footer="0.5"/>
  <pageSetup scale="82" orientation="portrait" horizontalDpi="200" verticalDpi="200"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3366FF"/>
    <pageSetUpPr fitToPage="1"/>
  </sheetPr>
  <dimension ref="A1:R45"/>
  <sheetViews>
    <sheetView showGridLines="0" zoomScale="85" zoomScaleNormal="85" workbookViewId="0">
      <selection activeCell="C11" sqref="C11:F11"/>
    </sheetView>
  </sheetViews>
  <sheetFormatPr defaultColWidth="8.85546875" defaultRowHeight="12.75" x14ac:dyDescent="0.2"/>
  <cols>
    <col min="1" max="1" width="39.85546875" style="186" customWidth="1"/>
    <col min="2" max="2" width="48.42578125" style="186" bestFit="1" customWidth="1"/>
    <col min="3" max="3" width="15.85546875" style="195" customWidth="1"/>
    <col min="4" max="6" width="15.85546875" style="186" customWidth="1"/>
    <col min="7" max="7" width="2.5703125" style="186" customWidth="1"/>
    <col min="8" max="8" width="10.28515625" style="186" customWidth="1"/>
    <col min="9" max="11" width="13.140625" style="186" customWidth="1"/>
    <col min="12" max="16384" width="8.85546875" style="186"/>
  </cols>
  <sheetData>
    <row r="1" spans="1:18" s="395" customFormat="1" ht="51.75" customHeight="1" x14ac:dyDescent="0.5"/>
    <row r="2" spans="1:18" s="118" customFormat="1" ht="16.5" customHeight="1" x14ac:dyDescent="0.5">
      <c r="A2" s="121" t="s">
        <v>358</v>
      </c>
      <c r="B2" s="120"/>
    </row>
    <row r="3" spans="1:18" s="119" customFormat="1" ht="19.5" customHeight="1" x14ac:dyDescent="0.5">
      <c r="A3" s="122" t="s">
        <v>229</v>
      </c>
    </row>
    <row r="4" spans="1:18" s="144" customFormat="1" ht="9" customHeight="1" x14ac:dyDescent="0.35">
      <c r="I4" s="376" t="s">
        <v>325</v>
      </c>
      <c r="J4" s="376" t="s">
        <v>327</v>
      </c>
      <c r="R4" s="145"/>
    </row>
    <row r="5" spans="1:18" s="146" customFormat="1" ht="12.75" customHeight="1" x14ac:dyDescent="0.2">
      <c r="A5" s="411" t="s">
        <v>194</v>
      </c>
      <c r="B5" s="411"/>
      <c r="C5" s="411"/>
      <c r="I5" s="150" t="s">
        <v>96</v>
      </c>
      <c r="J5" s="150" t="s">
        <v>328</v>
      </c>
      <c r="N5" s="147"/>
    </row>
    <row r="6" spans="1:18" s="150" customFormat="1" ht="10.5" customHeight="1" x14ac:dyDescent="0.2">
      <c r="A6" s="148"/>
      <c r="B6" s="148"/>
      <c r="C6" s="149"/>
      <c r="I6" s="150" t="s">
        <v>326</v>
      </c>
      <c r="J6" s="150" t="s">
        <v>329</v>
      </c>
      <c r="N6" s="151"/>
    </row>
    <row r="7" spans="1:18" s="150" customFormat="1" ht="12" customHeight="1" x14ac:dyDescent="0.2">
      <c r="A7" s="429" t="s">
        <v>284</v>
      </c>
      <c r="B7" s="430"/>
      <c r="C7" s="430"/>
      <c r="D7" s="430"/>
      <c r="E7" s="430"/>
      <c r="F7" s="431"/>
      <c r="H7" s="420" t="s">
        <v>332</v>
      </c>
      <c r="I7" s="421"/>
      <c r="J7" s="421"/>
      <c r="K7" s="422"/>
      <c r="N7" s="151"/>
    </row>
    <row r="8" spans="1:18" s="150" customFormat="1" ht="12" customHeight="1" x14ac:dyDescent="0.2">
      <c r="A8" s="211"/>
      <c r="B8" s="209"/>
      <c r="C8" s="210" t="s">
        <v>296</v>
      </c>
      <c r="D8" s="210" t="s">
        <v>16</v>
      </c>
      <c r="E8" s="210" t="s">
        <v>39</v>
      </c>
      <c r="F8" s="210" t="s">
        <v>40</v>
      </c>
      <c r="H8" s="160"/>
      <c r="I8" s="160" t="s">
        <v>95</v>
      </c>
      <c r="J8" s="160" t="s">
        <v>96</v>
      </c>
      <c r="K8" s="160" t="s">
        <v>97</v>
      </c>
      <c r="N8" s="151"/>
    </row>
    <row r="9" spans="1:18" s="185" customFormat="1" ht="25.5" x14ac:dyDescent="0.2">
      <c r="A9" s="212" t="s">
        <v>120</v>
      </c>
      <c r="B9" s="181" t="s">
        <v>282</v>
      </c>
      <c r="C9" s="182">
        <v>1</v>
      </c>
      <c r="D9" s="182">
        <v>3</v>
      </c>
      <c r="E9" s="182">
        <v>4</v>
      </c>
      <c r="F9" s="182">
        <v>5</v>
      </c>
      <c r="G9" s="184"/>
      <c r="H9" s="213" t="s">
        <v>70</v>
      </c>
      <c r="I9" s="375">
        <v>0</v>
      </c>
      <c r="J9" s="375">
        <v>0</v>
      </c>
      <c r="K9" s="375">
        <v>0</v>
      </c>
    </row>
    <row r="10" spans="1:18" s="185" customFormat="1" ht="25.5" x14ac:dyDescent="0.2">
      <c r="A10" s="212" t="s">
        <v>121</v>
      </c>
      <c r="B10" s="181" t="s">
        <v>106</v>
      </c>
      <c r="C10" s="182">
        <v>0</v>
      </c>
      <c r="D10" s="182">
        <v>0</v>
      </c>
      <c r="E10" s="182">
        <v>0</v>
      </c>
      <c r="F10" s="182">
        <v>0</v>
      </c>
      <c r="G10" s="184"/>
      <c r="H10" s="213" t="s">
        <v>69</v>
      </c>
      <c r="I10" s="375">
        <v>16</v>
      </c>
      <c r="J10" s="375">
        <v>40</v>
      </c>
      <c r="K10" s="375">
        <v>64</v>
      </c>
    </row>
    <row r="11" spans="1:18" s="185" customFormat="1" ht="25.5" x14ac:dyDescent="0.2">
      <c r="A11" s="212" t="s">
        <v>321</v>
      </c>
      <c r="B11" s="181" t="s">
        <v>324</v>
      </c>
      <c r="C11" s="432" t="s">
        <v>96</v>
      </c>
      <c r="D11" s="432"/>
      <c r="E11" s="432"/>
      <c r="F11" s="432"/>
      <c r="G11" s="187">
        <f>IF(C11="Strong",3,IF(C11="Moderate",2,1))</f>
        <v>2</v>
      </c>
      <c r="H11" s="213" t="s">
        <v>72</v>
      </c>
      <c r="I11" s="375">
        <v>32</v>
      </c>
      <c r="J11" s="375">
        <v>80</v>
      </c>
      <c r="K11" s="375">
        <v>128</v>
      </c>
    </row>
    <row r="12" spans="1:18" s="185" customFormat="1" x14ac:dyDescent="0.2">
      <c r="A12" s="212" t="s">
        <v>322</v>
      </c>
      <c r="B12" s="181" t="s">
        <v>323</v>
      </c>
      <c r="C12" s="432" t="s">
        <v>328</v>
      </c>
      <c r="D12" s="432"/>
      <c r="E12" s="432"/>
      <c r="F12" s="432"/>
      <c r="G12" s="187">
        <f>IF(C12="0-50",3,IF(C12="50-150",2,1))</f>
        <v>2</v>
      </c>
      <c r="H12" s="213" t="s">
        <v>76</v>
      </c>
      <c r="I12" s="375">
        <v>48</v>
      </c>
      <c r="J12" s="375">
        <v>120</v>
      </c>
      <c r="K12" s="375">
        <v>192</v>
      </c>
    </row>
    <row r="13" spans="1:18" s="185" customFormat="1" ht="12" customHeight="1" x14ac:dyDescent="0.2">
      <c r="A13" s="212" t="s">
        <v>122</v>
      </c>
      <c r="B13" s="181" t="s">
        <v>283</v>
      </c>
      <c r="C13" s="428" t="str">
        <f>IF(G13=1,"Complicated",IF(G13=2,"Moderate","Simple"))</f>
        <v>Moderate</v>
      </c>
      <c r="D13" s="428"/>
      <c r="E13" s="428"/>
      <c r="F13" s="428"/>
      <c r="G13" s="187">
        <f>ROUNDUP(AVERAGE(G11:G12),0)</f>
        <v>2</v>
      </c>
      <c r="H13" s="188"/>
      <c r="I13" s="188"/>
      <c r="J13" s="188"/>
      <c r="K13" s="188"/>
    </row>
    <row r="14" spans="1:18" s="188" customFormat="1" ht="12" customHeight="1" x14ac:dyDescent="0.2">
      <c r="A14" s="189"/>
      <c r="B14" s="190"/>
      <c r="C14" s="191"/>
      <c r="D14" s="187"/>
      <c r="E14" s="187"/>
      <c r="F14" s="187"/>
      <c r="G14" s="187"/>
    </row>
    <row r="15" spans="1:18" s="188" customFormat="1" ht="12" customHeight="1" x14ac:dyDescent="0.2">
      <c r="A15" s="189"/>
      <c r="B15" s="190"/>
      <c r="C15" s="191"/>
      <c r="D15" s="187"/>
      <c r="E15" s="187"/>
      <c r="F15" s="187"/>
      <c r="G15" s="187"/>
    </row>
    <row r="16" spans="1:18" s="188" customFormat="1" x14ac:dyDescent="0.2">
      <c r="A16" s="426" t="s">
        <v>100</v>
      </c>
      <c r="B16" s="427"/>
      <c r="F16" s="187"/>
      <c r="G16" s="187"/>
      <c r="H16" s="185"/>
      <c r="I16" s="185"/>
    </row>
    <row r="17" spans="1:11" s="188" customFormat="1" ht="12" customHeight="1" x14ac:dyDescent="0.2">
      <c r="A17" s="172" t="s">
        <v>99</v>
      </c>
      <c r="B17" s="171" t="s">
        <v>101</v>
      </c>
      <c r="G17" s="187"/>
      <c r="H17" s="185"/>
      <c r="I17" s="185"/>
    </row>
    <row r="18" spans="1:11" s="188" customFormat="1" x14ac:dyDescent="0.2">
      <c r="A18" s="202" t="s">
        <v>102</v>
      </c>
      <c r="B18" s="374">
        <v>-1</v>
      </c>
      <c r="F18" s="187"/>
      <c r="G18" s="184"/>
    </row>
    <row r="19" spans="1:11" s="188" customFormat="1" ht="12" customHeight="1" x14ac:dyDescent="0.2">
      <c r="A19" s="202" t="s">
        <v>103</v>
      </c>
      <c r="B19" s="374">
        <v>-0.5</v>
      </c>
      <c r="G19" s="184"/>
      <c r="H19" s="185"/>
      <c r="I19" s="185"/>
    </row>
    <row r="20" spans="1:11" s="188" customFormat="1" ht="12" customHeight="1" x14ac:dyDescent="0.2">
      <c r="A20" s="202" t="s">
        <v>104</v>
      </c>
      <c r="B20" s="374">
        <v>-0.2</v>
      </c>
      <c r="H20" s="185"/>
      <c r="I20" s="185"/>
    </row>
    <row r="21" spans="1:11" s="188" customFormat="1" x14ac:dyDescent="0.2">
      <c r="A21" s="202" t="s">
        <v>105</v>
      </c>
      <c r="B21" s="374">
        <v>0</v>
      </c>
      <c r="F21" s="187"/>
      <c r="G21" s="184"/>
      <c r="H21" s="185"/>
      <c r="I21" s="185"/>
    </row>
    <row r="22" spans="1:11" s="188" customFormat="1" ht="12" customHeight="1" x14ac:dyDescent="0.2">
      <c r="A22" s="189"/>
      <c r="B22" s="190"/>
      <c r="C22" s="192"/>
      <c r="H22" s="185"/>
      <c r="I22" s="185"/>
      <c r="J22" s="185"/>
      <c r="K22" s="185"/>
    </row>
    <row r="23" spans="1:11" s="188" customFormat="1" ht="12" customHeight="1" x14ac:dyDescent="0.2">
      <c r="A23" s="189"/>
      <c r="B23" s="190"/>
      <c r="C23" s="192"/>
      <c r="D23" s="187"/>
      <c r="E23" s="187"/>
      <c r="F23" s="187"/>
      <c r="G23" s="185"/>
      <c r="H23" s="185"/>
      <c r="I23" s="185"/>
      <c r="J23" s="185"/>
      <c r="K23" s="185"/>
    </row>
    <row r="24" spans="1:11" s="185" customFormat="1" ht="12" customHeight="1" x14ac:dyDescent="0.2">
      <c r="A24" s="423" t="s">
        <v>108</v>
      </c>
      <c r="B24" s="424"/>
      <c r="C24" s="425"/>
      <c r="D24" s="184"/>
      <c r="E24" s="184"/>
      <c r="F24" s="184"/>
    </row>
    <row r="25" spans="1:11" s="185" customFormat="1" ht="12" customHeight="1" x14ac:dyDescent="0.2">
      <c r="A25" s="212" t="s">
        <v>123</v>
      </c>
      <c r="B25" s="181" t="s">
        <v>110</v>
      </c>
      <c r="C25" s="182" t="s">
        <v>274</v>
      </c>
      <c r="D25" s="184"/>
      <c r="E25" s="184"/>
      <c r="F25" s="184"/>
    </row>
    <row r="26" spans="1:11" s="185" customFormat="1" ht="24.75" customHeight="1" x14ac:dyDescent="0.2">
      <c r="A26" s="212" t="s">
        <v>124</v>
      </c>
      <c r="B26" s="181" t="s">
        <v>111</v>
      </c>
      <c r="C26" s="183" t="s">
        <v>104</v>
      </c>
      <c r="D26" s="184"/>
      <c r="E26" s="184"/>
      <c r="F26" s="184"/>
    </row>
    <row r="27" spans="1:11" s="185" customFormat="1" ht="15" customHeight="1" x14ac:dyDescent="0.2">
      <c r="A27" s="184"/>
      <c r="B27" s="184"/>
      <c r="C27" s="193"/>
      <c r="D27" s="184"/>
      <c r="E27" s="184"/>
      <c r="F27" s="184"/>
      <c r="H27" s="186"/>
      <c r="I27" s="186"/>
    </row>
    <row r="28" spans="1:11" s="185" customFormat="1" ht="15" customHeight="1" x14ac:dyDescent="0.2">
      <c r="F28" s="184"/>
      <c r="H28" s="186"/>
      <c r="I28" s="186"/>
    </row>
    <row r="29" spans="1:11" s="185" customFormat="1" ht="12.75" customHeight="1" x14ac:dyDescent="0.2">
      <c r="G29" s="186"/>
      <c r="H29" s="186"/>
      <c r="I29" s="186"/>
    </row>
    <row r="30" spans="1:11" s="185" customFormat="1" ht="12.75" customHeight="1" x14ac:dyDescent="0.2">
      <c r="G30" s="186"/>
      <c r="H30" s="186"/>
      <c r="I30" s="186"/>
    </row>
    <row r="31" spans="1:11" s="185" customFormat="1" ht="12.75" customHeight="1" x14ac:dyDescent="0.2">
      <c r="G31" s="186"/>
      <c r="H31" s="186"/>
      <c r="I31" s="186"/>
    </row>
    <row r="32" spans="1:11" s="185" customFormat="1" ht="12.75" customHeight="1" x14ac:dyDescent="0.2">
      <c r="G32" s="186"/>
      <c r="H32" s="186"/>
      <c r="I32" s="186"/>
    </row>
    <row r="33" spans="3:11" s="185" customFormat="1" ht="12.75" customHeight="1" x14ac:dyDescent="0.2">
      <c r="G33" s="186"/>
      <c r="H33" s="186"/>
      <c r="I33" s="186"/>
      <c r="J33" s="186"/>
      <c r="K33" s="186"/>
    </row>
    <row r="34" spans="3:11" s="185" customFormat="1" ht="12.75" customHeight="1" x14ac:dyDescent="0.2">
      <c r="C34" s="194"/>
      <c r="G34" s="186"/>
      <c r="H34" s="186"/>
      <c r="I34" s="186"/>
      <c r="J34" s="186"/>
      <c r="K34" s="186"/>
    </row>
    <row r="35" spans="3:11" ht="12.75" customHeight="1" x14ac:dyDescent="0.2"/>
    <row r="36" spans="3:11" ht="12.75" customHeight="1" x14ac:dyDescent="0.2"/>
    <row r="37" spans="3:11" ht="12.75" customHeight="1" x14ac:dyDescent="0.2"/>
    <row r="38" spans="3:11" ht="12.75" customHeight="1" x14ac:dyDescent="0.2"/>
    <row r="39" spans="3:11" ht="12.75" customHeight="1" x14ac:dyDescent="0.2"/>
    <row r="40" spans="3:11" ht="12.75" customHeight="1" x14ac:dyDescent="0.2"/>
    <row r="41" spans="3:11" ht="12.75" customHeight="1" x14ac:dyDescent="0.2"/>
    <row r="42" spans="3:11" ht="12.75" customHeight="1" x14ac:dyDescent="0.2"/>
    <row r="43" spans="3:11" ht="12.75" customHeight="1" x14ac:dyDescent="0.2"/>
    <row r="44" spans="3:11" ht="12.75" customHeight="1" x14ac:dyDescent="0.2"/>
    <row r="45" spans="3:11" ht="12.75" customHeight="1" x14ac:dyDescent="0.2"/>
  </sheetData>
  <mergeCells count="9">
    <mergeCell ref="H7:K7"/>
    <mergeCell ref="A24:C24"/>
    <mergeCell ref="A16:B16"/>
    <mergeCell ref="C13:F13"/>
    <mergeCell ref="A1:XFD1"/>
    <mergeCell ref="A5:C5"/>
    <mergeCell ref="A7:F7"/>
    <mergeCell ref="C11:F11"/>
    <mergeCell ref="C12:F12"/>
  </mergeCells>
  <dataValidations count="4">
    <dataValidation type="list" allowBlank="1" showInputMessage="1" showErrorMessage="1" sqref="C26">
      <formula1>ModelOverlap</formula1>
    </dataValidation>
    <dataValidation type="list" allowBlank="1" showInputMessage="1" showErrorMessage="1" sqref="C25">
      <formula1>"YES, NO"</formula1>
    </dataValidation>
    <dataValidation type="list" allowBlank="1" showInputMessage="1" showErrorMessage="1" sqref="C11:F11">
      <formula1>$I$4:$I$6</formula1>
    </dataValidation>
    <dataValidation type="list" allowBlank="1" showInputMessage="1" showErrorMessage="1" sqref="C12:F12">
      <formula1>$J$4:$J$6</formula1>
    </dataValidation>
  </dataValidations>
  <hyperlinks>
    <hyperlink ref="A5" location="Overview!A1" display="Overview"/>
    <hyperlink ref="A5:C5" location="Overview!A1" display="Back to Overview"/>
  </hyperlinks>
  <pageMargins left="0.75" right="0.75" top="1" bottom="1" header="0.5" footer="0.5"/>
  <pageSetup paperSize="5" scale="77"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3366FF"/>
    <pageSetUpPr fitToPage="1"/>
  </sheetPr>
  <dimension ref="A1:J37"/>
  <sheetViews>
    <sheetView showGridLines="0" zoomScale="85" zoomScaleNormal="85" workbookViewId="0">
      <selection activeCell="A2" sqref="A2"/>
    </sheetView>
  </sheetViews>
  <sheetFormatPr defaultColWidth="8.85546875" defaultRowHeight="12.75" x14ac:dyDescent="0.2"/>
  <cols>
    <col min="1" max="1" width="7.42578125" style="146" customWidth="1"/>
    <col min="2" max="2" width="30" style="146" bestFit="1" customWidth="1"/>
    <col min="3" max="4" width="13.85546875" style="146" customWidth="1"/>
    <col min="5" max="6" width="13.7109375" style="146" customWidth="1"/>
    <col min="7" max="7" width="12" style="146" bestFit="1" customWidth="1"/>
    <col min="8" max="8" width="13.140625" style="146" customWidth="1"/>
    <col min="9" max="9" width="11.42578125" style="146" bestFit="1" customWidth="1"/>
    <col min="10" max="16384" width="8.85546875" style="146"/>
  </cols>
  <sheetData>
    <row r="1" spans="1:10" s="395" customFormat="1" ht="51.75" customHeight="1" x14ac:dyDescent="0.5"/>
    <row r="2" spans="1:10" s="118" customFormat="1" ht="16.5" customHeight="1" x14ac:dyDescent="0.5">
      <c r="A2" s="121" t="s">
        <v>358</v>
      </c>
      <c r="B2" s="120"/>
    </row>
    <row r="3" spans="1:10" s="119" customFormat="1" ht="19.5" customHeight="1" x14ac:dyDescent="0.5">
      <c r="A3" s="122" t="s">
        <v>51</v>
      </c>
    </row>
    <row r="4" spans="1:10" s="144" customFormat="1" ht="9" customHeight="1" x14ac:dyDescent="0.35"/>
    <row r="5" spans="1:10" s="144" customFormat="1" ht="15.75" customHeight="1" x14ac:dyDescent="0.35">
      <c r="A5" s="411" t="s">
        <v>194</v>
      </c>
      <c r="B5" s="411" t="s">
        <v>194</v>
      </c>
      <c r="C5" s="411"/>
    </row>
    <row r="6" spans="1:10" s="144" customFormat="1" ht="10.5" customHeight="1" x14ac:dyDescent="0.35">
      <c r="A6" s="206"/>
      <c r="B6" s="206"/>
      <c r="C6" s="206"/>
    </row>
    <row r="7" spans="1:10" s="175" customFormat="1" ht="12.75" customHeight="1" x14ac:dyDescent="0.2">
      <c r="A7" s="167"/>
      <c r="B7" s="437" t="s">
        <v>98</v>
      </c>
      <c r="C7" s="437"/>
      <c r="D7" s="437"/>
      <c r="E7" s="437"/>
      <c r="F7" s="437"/>
      <c r="I7" s="167"/>
    </row>
    <row r="8" spans="1:10" s="175" customFormat="1" ht="12.75" customHeight="1" x14ac:dyDescent="0.2">
      <c r="A8" s="168"/>
      <c r="B8" s="160" t="s">
        <v>253</v>
      </c>
      <c r="C8" s="169" t="s">
        <v>171</v>
      </c>
      <c r="D8" s="169" t="s">
        <v>172</v>
      </c>
      <c r="E8" s="160" t="s">
        <v>281</v>
      </c>
      <c r="F8" s="160" t="s">
        <v>173</v>
      </c>
      <c r="I8" s="167"/>
    </row>
    <row r="9" spans="1:10" s="175" customFormat="1" ht="12.75" customHeight="1" x14ac:dyDescent="0.2">
      <c r="A9" s="433" t="s">
        <v>126</v>
      </c>
      <c r="B9" s="161" t="s">
        <v>347</v>
      </c>
      <c r="C9" s="170">
        <v>70.56</v>
      </c>
      <c r="D9" s="170">
        <v>70.56</v>
      </c>
      <c r="E9" s="163" t="s">
        <v>171</v>
      </c>
      <c r="F9" s="162">
        <f t="shared" ref="F9:F19" si="0">IF(E9="Internal", C9, D9)</f>
        <v>70.56</v>
      </c>
      <c r="I9" s="167"/>
      <c r="J9" s="178"/>
    </row>
    <row r="10" spans="1:10" s="175" customFormat="1" ht="12.75" customHeight="1" x14ac:dyDescent="0.2">
      <c r="A10" s="434"/>
      <c r="B10" s="161" t="s">
        <v>348</v>
      </c>
      <c r="C10" s="170">
        <v>106.53</v>
      </c>
      <c r="D10" s="170">
        <v>106.53</v>
      </c>
      <c r="E10" s="163" t="s">
        <v>171</v>
      </c>
      <c r="F10" s="162">
        <f t="shared" si="0"/>
        <v>106.53</v>
      </c>
      <c r="I10" s="167"/>
    </row>
    <row r="11" spans="1:10" s="175" customFormat="1" ht="12.75" customHeight="1" x14ac:dyDescent="0.2">
      <c r="A11" s="434"/>
      <c r="B11" s="161" t="s">
        <v>349</v>
      </c>
      <c r="C11" s="170">
        <v>120.95</v>
      </c>
      <c r="D11" s="170">
        <v>120.95</v>
      </c>
      <c r="E11" s="163" t="s">
        <v>171</v>
      </c>
      <c r="F11" s="162">
        <f t="shared" si="0"/>
        <v>120.95</v>
      </c>
      <c r="I11" s="167"/>
    </row>
    <row r="12" spans="1:10" s="175" customFormat="1" ht="12.75" customHeight="1" x14ac:dyDescent="0.2">
      <c r="A12" s="434"/>
      <c r="B12" s="161" t="s">
        <v>350</v>
      </c>
      <c r="C12" s="170">
        <v>92.01</v>
      </c>
      <c r="D12" s="170">
        <v>92.01</v>
      </c>
      <c r="E12" s="163" t="s">
        <v>171</v>
      </c>
      <c r="F12" s="162">
        <f t="shared" si="0"/>
        <v>92.01</v>
      </c>
      <c r="I12" s="167"/>
    </row>
    <row r="13" spans="1:10" s="175" customFormat="1" ht="12.75" customHeight="1" x14ac:dyDescent="0.2">
      <c r="A13" s="434"/>
      <c r="B13" s="161" t="s">
        <v>351</v>
      </c>
      <c r="C13" s="170">
        <v>98.93</v>
      </c>
      <c r="D13" s="170">
        <v>98.93</v>
      </c>
      <c r="E13" s="163" t="s">
        <v>171</v>
      </c>
      <c r="F13" s="162">
        <f t="shared" si="0"/>
        <v>98.93</v>
      </c>
      <c r="I13" s="167"/>
    </row>
    <row r="14" spans="1:10" s="175" customFormat="1" ht="12.75" customHeight="1" x14ac:dyDescent="0.2">
      <c r="A14" s="434"/>
      <c r="B14" s="161" t="s">
        <v>352</v>
      </c>
      <c r="C14" s="170">
        <v>140</v>
      </c>
      <c r="D14" s="170">
        <v>140</v>
      </c>
      <c r="E14" s="163" t="s">
        <v>171</v>
      </c>
      <c r="F14" s="162">
        <f t="shared" si="0"/>
        <v>140</v>
      </c>
      <c r="I14" s="167"/>
    </row>
    <row r="15" spans="1:10" s="175" customFormat="1" ht="12.75" customHeight="1" x14ac:dyDescent="0.2">
      <c r="A15" s="434"/>
      <c r="B15" s="161" t="s">
        <v>353</v>
      </c>
      <c r="C15" s="170">
        <v>92.01</v>
      </c>
      <c r="D15" s="170">
        <v>92.01</v>
      </c>
      <c r="E15" s="163" t="s">
        <v>171</v>
      </c>
      <c r="F15" s="162">
        <f t="shared" si="0"/>
        <v>92.01</v>
      </c>
      <c r="I15" s="167"/>
    </row>
    <row r="16" spans="1:10" s="175" customFormat="1" ht="12.75" customHeight="1" x14ac:dyDescent="0.2">
      <c r="A16" s="434"/>
      <c r="B16" s="161" t="s">
        <v>354</v>
      </c>
      <c r="C16" s="170">
        <v>58.892000000000003</v>
      </c>
      <c r="D16" s="170">
        <v>58.89</v>
      </c>
      <c r="E16" s="163" t="s">
        <v>171</v>
      </c>
      <c r="F16" s="162">
        <f>IF(E16="Internal", C16, D16)</f>
        <v>58.892000000000003</v>
      </c>
      <c r="I16" s="167"/>
    </row>
    <row r="17" spans="1:9" s="175" customFormat="1" ht="12.75" customHeight="1" x14ac:dyDescent="0.2">
      <c r="A17" s="434"/>
      <c r="B17" s="161" t="s">
        <v>355</v>
      </c>
      <c r="C17" s="170">
        <v>101.79</v>
      </c>
      <c r="D17" s="170">
        <v>101.79</v>
      </c>
      <c r="E17" s="163" t="s">
        <v>171</v>
      </c>
      <c r="F17" s="162">
        <f>IF(E17="Internal", C17, D17)</f>
        <v>101.79</v>
      </c>
      <c r="I17" s="167"/>
    </row>
    <row r="18" spans="1:9" s="175" customFormat="1" ht="12.75" customHeight="1" x14ac:dyDescent="0.2">
      <c r="A18" s="434"/>
      <c r="B18" s="161" t="s">
        <v>356</v>
      </c>
      <c r="C18" s="170">
        <v>100</v>
      </c>
      <c r="D18" s="170">
        <v>0</v>
      </c>
      <c r="E18" s="163" t="s">
        <v>171</v>
      </c>
      <c r="F18" s="162">
        <f>IF(E18="Internal", C18, D18)</f>
        <v>100</v>
      </c>
      <c r="I18" s="167"/>
    </row>
    <row r="19" spans="1:9" s="175" customFormat="1" ht="12.75" customHeight="1" x14ac:dyDescent="0.2">
      <c r="A19" s="435"/>
      <c r="B19" s="164" t="s">
        <v>220</v>
      </c>
      <c r="C19" s="165">
        <f>SUM(C9:C18)/COUNT(C9:C14)</f>
        <v>163.61199999999999</v>
      </c>
      <c r="D19" s="165">
        <f>SUM(D9:D18)/COUNT(D9:D14)</f>
        <v>146.94499999999999</v>
      </c>
      <c r="E19" s="166" t="s">
        <v>171</v>
      </c>
      <c r="F19" s="165">
        <f t="shared" si="0"/>
        <v>163.61199999999999</v>
      </c>
      <c r="I19" s="167"/>
    </row>
    <row r="20" spans="1:9" s="175" customFormat="1" ht="12.75" customHeight="1" x14ac:dyDescent="0.2">
      <c r="A20" s="176"/>
      <c r="B20" s="177"/>
      <c r="C20" s="177"/>
      <c r="D20" s="177"/>
      <c r="E20" s="167"/>
      <c r="F20" s="167"/>
      <c r="G20" s="167"/>
      <c r="H20" s="167"/>
      <c r="I20" s="167"/>
    </row>
    <row r="21" spans="1:9" s="180" customFormat="1" ht="12" customHeight="1" x14ac:dyDescent="0.2">
      <c r="A21" s="436" t="s">
        <v>196</v>
      </c>
      <c r="B21" s="171" t="s">
        <v>262</v>
      </c>
      <c r="C21" s="171" t="s">
        <v>296</v>
      </c>
      <c r="D21" s="171" t="s">
        <v>16</v>
      </c>
      <c r="E21" s="171" t="s">
        <v>39</v>
      </c>
      <c r="F21" s="171" t="s">
        <v>40</v>
      </c>
      <c r="G21" s="179"/>
      <c r="H21" s="179"/>
    </row>
    <row r="22" spans="1:9" s="180" customFormat="1" ht="12" customHeight="1" x14ac:dyDescent="0.2">
      <c r="A22" s="436"/>
      <c r="B22" s="83" t="s">
        <v>107</v>
      </c>
      <c r="C22" s="170">
        <v>6700</v>
      </c>
      <c r="D22" s="170">
        <v>5000</v>
      </c>
      <c r="E22" s="170">
        <v>5000</v>
      </c>
      <c r="F22" s="170">
        <v>5000</v>
      </c>
      <c r="G22" s="179"/>
      <c r="H22" s="179"/>
    </row>
    <row r="23" spans="1:9" s="180" customFormat="1" ht="12" customHeight="1" x14ac:dyDescent="0.2">
      <c r="A23" s="436"/>
      <c r="B23" s="83" t="s">
        <v>175</v>
      </c>
      <c r="C23" s="170">
        <v>0</v>
      </c>
      <c r="D23" s="170">
        <v>0</v>
      </c>
      <c r="E23" s="170">
        <v>0</v>
      </c>
      <c r="F23" s="170">
        <v>0</v>
      </c>
      <c r="G23" s="179"/>
      <c r="H23" s="179"/>
    </row>
    <row r="24" spans="1:9" s="180" customFormat="1" ht="12" customHeight="1" x14ac:dyDescent="0.2">
      <c r="A24" s="436"/>
      <c r="B24" s="83" t="s">
        <v>176</v>
      </c>
      <c r="C24" s="170">
        <v>0</v>
      </c>
      <c r="D24" s="170">
        <v>0</v>
      </c>
      <c r="E24" s="170">
        <v>0</v>
      </c>
      <c r="F24" s="170">
        <v>0</v>
      </c>
      <c r="G24" s="179"/>
      <c r="H24" s="179"/>
    </row>
    <row r="25" spans="1:9" s="180" customFormat="1" ht="12" customHeight="1" x14ac:dyDescent="0.2">
      <c r="A25" s="167"/>
      <c r="B25" s="167"/>
      <c r="C25" s="167"/>
      <c r="D25" s="167"/>
      <c r="E25" s="179"/>
      <c r="F25" s="179"/>
      <c r="G25" s="179"/>
      <c r="H25" s="179"/>
    </row>
    <row r="26" spans="1:9" ht="12" customHeight="1" x14ac:dyDescent="0.2">
      <c r="A26" s="436" t="s">
        <v>197</v>
      </c>
      <c r="B26" s="231" t="s">
        <v>254</v>
      </c>
      <c r="C26" s="171" t="s">
        <v>296</v>
      </c>
      <c r="D26" s="171" t="s">
        <v>16</v>
      </c>
      <c r="E26" s="171" t="s">
        <v>39</v>
      </c>
      <c r="F26" s="171" t="s">
        <v>40</v>
      </c>
      <c r="G26" s="167"/>
      <c r="H26" s="167"/>
    </row>
    <row r="27" spans="1:9" ht="12" customHeight="1" x14ac:dyDescent="0.2">
      <c r="A27" s="436"/>
      <c r="B27" s="230" t="s">
        <v>255</v>
      </c>
      <c r="C27" s="170">
        <v>0</v>
      </c>
      <c r="D27" s="170">
        <v>0</v>
      </c>
      <c r="E27" s="170">
        <v>0</v>
      </c>
      <c r="F27" s="170">
        <v>0</v>
      </c>
      <c r="G27" s="167"/>
      <c r="H27" s="167"/>
    </row>
    <row r="28" spans="1:9" ht="12" customHeight="1" x14ac:dyDescent="0.2">
      <c r="A28" s="436"/>
      <c r="B28" s="230" t="s">
        <v>258</v>
      </c>
      <c r="C28" s="170">
        <v>0</v>
      </c>
      <c r="D28" s="170">
        <v>0</v>
      </c>
      <c r="E28" s="170">
        <v>0</v>
      </c>
      <c r="F28" s="170">
        <v>0</v>
      </c>
      <c r="G28" s="167"/>
      <c r="H28" s="167"/>
    </row>
    <row r="29" spans="1:9" ht="12" customHeight="1" x14ac:dyDescent="0.2">
      <c r="A29" s="436"/>
      <c r="B29" s="230" t="s">
        <v>259</v>
      </c>
      <c r="C29" s="170">
        <v>0</v>
      </c>
      <c r="D29" s="170">
        <v>0</v>
      </c>
      <c r="E29" s="170">
        <v>0</v>
      </c>
      <c r="F29" s="170">
        <v>0</v>
      </c>
      <c r="G29" s="167"/>
      <c r="H29" s="167"/>
    </row>
    <row r="30" spans="1:9" ht="12" customHeight="1" x14ac:dyDescent="0.2">
      <c r="A30" s="436"/>
      <c r="B30" s="230" t="s">
        <v>256</v>
      </c>
      <c r="C30" s="170">
        <v>0</v>
      </c>
      <c r="D30" s="170">
        <v>0</v>
      </c>
      <c r="E30" s="170">
        <v>0</v>
      </c>
      <c r="F30" s="170">
        <v>0</v>
      </c>
      <c r="G30" s="167"/>
      <c r="H30" s="167"/>
    </row>
    <row r="31" spans="1:9" ht="12" customHeight="1" x14ac:dyDescent="0.2">
      <c r="A31" s="436"/>
      <c r="B31" s="232" t="s">
        <v>257</v>
      </c>
      <c r="C31" s="174">
        <f>SUM(C27:C30)</f>
        <v>0</v>
      </c>
      <c r="D31" s="174">
        <f t="shared" ref="D31:F31" si="1">SUM(D27:D30)</f>
        <v>0</v>
      </c>
      <c r="E31" s="174">
        <f t="shared" si="1"/>
        <v>0</v>
      </c>
      <c r="F31" s="174">
        <f t="shared" si="1"/>
        <v>0</v>
      </c>
    </row>
    <row r="32" spans="1:9" ht="12" customHeight="1" x14ac:dyDescent="0.2"/>
    <row r="33" spans="1:3" ht="12" customHeight="1" x14ac:dyDescent="0.2">
      <c r="A33" s="433" t="s">
        <v>285</v>
      </c>
      <c r="B33" s="171" t="s">
        <v>264</v>
      </c>
      <c r="C33" s="173" t="s">
        <v>177</v>
      </c>
    </row>
    <row r="34" spans="1:3" ht="12" customHeight="1" x14ac:dyDescent="0.2">
      <c r="A34" s="434"/>
      <c r="B34" s="208" t="s">
        <v>263</v>
      </c>
      <c r="C34" s="170">
        <v>0</v>
      </c>
    </row>
    <row r="35" spans="1:3" ht="12" customHeight="1" x14ac:dyDescent="0.2">
      <c r="A35" s="434"/>
      <c r="B35" s="208" t="s">
        <v>266</v>
      </c>
      <c r="C35" s="170">
        <v>0</v>
      </c>
    </row>
    <row r="36" spans="1:3" ht="12" customHeight="1" x14ac:dyDescent="0.2">
      <c r="A36" s="434"/>
      <c r="B36" s="208" t="s">
        <v>267</v>
      </c>
      <c r="C36" s="170">
        <v>0</v>
      </c>
    </row>
    <row r="37" spans="1:3" x14ac:dyDescent="0.2">
      <c r="A37" s="435"/>
      <c r="B37" s="207" t="s">
        <v>257</v>
      </c>
      <c r="C37" s="165">
        <f>SUM(C34:C36)</f>
        <v>0</v>
      </c>
    </row>
  </sheetData>
  <mergeCells count="7">
    <mergeCell ref="A33:A37"/>
    <mergeCell ref="A26:A31"/>
    <mergeCell ref="A1:XFD1"/>
    <mergeCell ref="A5:C5"/>
    <mergeCell ref="A21:A24"/>
    <mergeCell ref="A9:A19"/>
    <mergeCell ref="B7:F7"/>
  </mergeCells>
  <dataValidations count="1">
    <dataValidation type="list" allowBlank="1" showInputMessage="1" showErrorMessage="1" sqref="E9:E19">
      <formula1>ResourceType</formula1>
    </dataValidation>
  </dataValidations>
  <hyperlinks>
    <hyperlink ref="A5" location="Overview!A1" display="Overview"/>
  </hyperlinks>
  <pageMargins left="0.75" right="0.75" top="1" bottom="1" header="0.5" footer="0.5"/>
  <pageSetup paperSize="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3366FF"/>
    <pageSetUpPr fitToPage="1"/>
  </sheetPr>
  <dimension ref="A1:R53"/>
  <sheetViews>
    <sheetView showGridLines="0" zoomScale="75" zoomScaleNormal="75" workbookViewId="0">
      <pane xSplit="5" ySplit="10" topLeftCell="F31" activePane="bottomRight" state="frozen"/>
      <selection pane="topRight" activeCell="F1" sqref="F1"/>
      <selection pane="bottomLeft" activeCell="A11" sqref="A11"/>
      <selection pane="bottomRight" activeCell="A2" sqref="A2"/>
    </sheetView>
  </sheetViews>
  <sheetFormatPr defaultColWidth="8.85546875" defaultRowHeight="12.75" x14ac:dyDescent="0.2"/>
  <cols>
    <col min="1" max="1" width="4.42578125" style="146" customWidth="1"/>
    <col min="2" max="2" width="6.28515625" style="159" customWidth="1"/>
    <col min="3" max="3" width="34" style="152" customWidth="1"/>
    <col min="4" max="5" width="12" style="146" customWidth="1"/>
    <col min="6" max="6" width="9.85546875" style="146" customWidth="1"/>
    <col min="7" max="7" width="10.42578125" style="146" customWidth="1"/>
    <col min="8" max="8" width="11.140625" style="146" customWidth="1"/>
    <col min="9" max="9" width="9.85546875" style="146" customWidth="1"/>
    <col min="10" max="10" width="11.42578125" style="146" customWidth="1"/>
    <col min="11" max="12" width="9.85546875" style="146" customWidth="1"/>
    <col min="13" max="13" width="8.42578125" style="146" customWidth="1"/>
    <col min="14" max="14" width="1.85546875" style="147" customWidth="1"/>
    <col min="15" max="15" width="12.42578125" style="146" customWidth="1"/>
    <col min="16" max="16" width="12.5703125" style="146" customWidth="1"/>
    <col min="17" max="16384" width="8.85546875" style="146"/>
  </cols>
  <sheetData>
    <row r="1" spans="1:18" s="395" customFormat="1" ht="51.75" customHeight="1" x14ac:dyDescent="0.5"/>
    <row r="2" spans="1:18" s="118" customFormat="1" ht="16.5" customHeight="1" x14ac:dyDescent="0.5">
      <c r="A2" s="121" t="s">
        <v>358</v>
      </c>
      <c r="B2" s="120"/>
    </row>
    <row r="3" spans="1:18" s="119" customFormat="1" ht="19.5" customHeight="1" x14ac:dyDescent="0.5">
      <c r="A3" s="122" t="s">
        <v>174</v>
      </c>
    </row>
    <row r="4" spans="1:18" s="144" customFormat="1" ht="9" customHeight="1" x14ac:dyDescent="0.35">
      <c r="R4" s="145"/>
    </row>
    <row r="5" spans="1:18" ht="12.75" customHeight="1" x14ac:dyDescent="0.2">
      <c r="A5" s="411" t="s">
        <v>194</v>
      </c>
      <c r="B5" s="411"/>
      <c r="C5" s="411"/>
    </row>
    <row r="6" spans="1:18" s="150" customFormat="1" ht="9" customHeight="1" x14ac:dyDescent="0.2">
      <c r="A6" s="148"/>
      <c r="B6" s="148"/>
      <c r="C6" s="149"/>
      <c r="N6" s="151"/>
    </row>
    <row r="7" spans="1:18" ht="12.75" customHeight="1" x14ac:dyDescent="0.2">
      <c r="A7" s="141"/>
      <c r="B7" s="133"/>
      <c r="C7" s="133"/>
      <c r="D7" s="446" t="s">
        <v>320</v>
      </c>
      <c r="E7" s="446"/>
      <c r="F7" s="446"/>
      <c r="G7" s="446"/>
      <c r="H7" s="446"/>
      <c r="I7" s="446"/>
      <c r="J7" s="446"/>
      <c r="K7" s="446"/>
      <c r="L7" s="446"/>
      <c r="M7" s="427"/>
      <c r="N7" s="153"/>
      <c r="O7" s="426" t="s">
        <v>286</v>
      </c>
      <c r="P7" s="427"/>
    </row>
    <row r="8" spans="1:18" s="152" customFormat="1" ht="12.75" customHeight="1" x14ac:dyDescent="0.2">
      <c r="A8" s="440" t="s">
        <v>61</v>
      </c>
      <c r="B8" s="441"/>
      <c r="C8" s="442"/>
      <c r="D8" s="438" t="s">
        <v>62</v>
      </c>
      <c r="E8" s="438"/>
      <c r="F8" s="438"/>
      <c r="G8" s="438"/>
      <c r="H8" s="438"/>
      <c r="I8" s="438"/>
      <c r="J8" s="438"/>
      <c r="K8" s="438"/>
      <c r="L8" s="438"/>
      <c r="M8" s="439"/>
      <c r="N8" s="154"/>
      <c r="O8" s="78" t="s">
        <v>64</v>
      </c>
      <c r="P8" s="79" t="s">
        <v>65</v>
      </c>
    </row>
    <row r="9" spans="1:18" s="152" customFormat="1" ht="51" x14ac:dyDescent="0.2">
      <c r="A9" s="443"/>
      <c r="B9" s="444"/>
      <c r="C9" s="445"/>
      <c r="D9" s="107" t="str">
        <f>IF('3.0 Cost Variables'!B9="","",'3.0 Cost Variables'!B9)</f>
        <v>Business/Data Analyst</v>
      </c>
      <c r="E9" s="108" t="str">
        <f>IF('3.0 Cost Variables'!B10="", "", '3.0 Cost Variables'!B10)</f>
        <v>EDM Architect</v>
      </c>
      <c r="F9" s="108" t="str">
        <f>IF('3.0 Cost Variables'!B11="", "", '3.0 Cost Variables'!B11)</f>
        <v>Enterprise Architect</v>
      </c>
      <c r="G9" s="108" t="str">
        <f>IF('3.0 Cost Variables'!B12="", "", '3.0 Cost Variables'!B12)</f>
        <v>Programmer</v>
      </c>
      <c r="H9" s="108" t="str">
        <f>IF('3.0 Cost Variables'!B13="", "", '3.0 Cost Variables'!B13)</f>
        <v>Project Manager</v>
      </c>
      <c r="I9" s="108" t="str">
        <f>IF('3.0 Cost Variables'!B14="", "", '3.0 Cost Variables'!B14)</f>
        <v>Senior Management</v>
      </c>
      <c r="J9" s="131" t="str">
        <f>IF('3.0 Cost Variables'!B15="", "", '3.0 Cost Variables'!B15)</f>
        <v>SOA Programmer</v>
      </c>
      <c r="K9" s="131" t="str">
        <f>IF('3.0 Cost Variables'!B16="", "", '3.0 Cost Variables'!B16)</f>
        <v>Test Analyst</v>
      </c>
      <c r="L9" s="131" t="str">
        <f>IF('3.0 Cost Variables'!B17="", "", '3.0 Cost Variables'!B17)</f>
        <v>Service Lead</v>
      </c>
      <c r="M9" s="131" t="str">
        <f>IF('3.0 Cost Variables'!B18="", "", '3.0 Cost Variables'!B18)</f>
        <v>Business Stakeholders</v>
      </c>
      <c r="N9" s="155"/>
      <c r="O9" s="107" t="s">
        <v>66</v>
      </c>
      <c r="P9" s="108" t="s">
        <v>66</v>
      </c>
    </row>
    <row r="10" spans="1:18" x14ac:dyDescent="0.2">
      <c r="A10" s="138">
        <v>1</v>
      </c>
      <c r="B10" s="139" t="s">
        <v>12</v>
      </c>
      <c r="C10" s="140"/>
      <c r="D10" s="81"/>
      <c r="E10" s="81"/>
      <c r="F10" s="81"/>
      <c r="G10" s="81"/>
      <c r="H10" s="81"/>
      <c r="I10" s="81"/>
      <c r="J10" s="81"/>
      <c r="K10" s="81"/>
      <c r="L10" s="81"/>
      <c r="M10" s="81"/>
      <c r="N10" s="156"/>
      <c r="O10" s="384"/>
      <c r="P10" s="385"/>
    </row>
    <row r="11" spans="1:18" x14ac:dyDescent="0.2">
      <c r="A11" s="142"/>
      <c r="B11" s="82">
        <v>1.1000000000000001</v>
      </c>
      <c r="C11" s="80" t="s">
        <v>68</v>
      </c>
      <c r="D11" s="132" t="s">
        <v>70</v>
      </c>
      <c r="E11" s="132" t="s">
        <v>70</v>
      </c>
      <c r="F11" s="132" t="s">
        <v>70</v>
      </c>
      <c r="G11" s="132" t="s">
        <v>70</v>
      </c>
      <c r="H11" s="132" t="s">
        <v>70</v>
      </c>
      <c r="I11" s="132" t="s">
        <v>72</v>
      </c>
      <c r="J11" s="132" t="s">
        <v>70</v>
      </c>
      <c r="K11" s="132" t="s">
        <v>70</v>
      </c>
      <c r="L11" s="132" t="s">
        <v>76</v>
      </c>
      <c r="M11" s="132" t="s">
        <v>70</v>
      </c>
      <c r="N11" s="157"/>
      <c r="O11" s="392">
        <v>0.5</v>
      </c>
      <c r="P11" s="393">
        <v>1</v>
      </c>
    </row>
    <row r="12" spans="1:18" x14ac:dyDescent="0.2">
      <c r="A12" s="142"/>
      <c r="B12" s="82">
        <v>1.2</v>
      </c>
      <c r="C12" s="80" t="s">
        <v>71</v>
      </c>
      <c r="D12" s="132" t="s">
        <v>72</v>
      </c>
      <c r="E12" s="132" t="s">
        <v>72</v>
      </c>
      <c r="F12" s="132" t="s">
        <v>70</v>
      </c>
      <c r="G12" s="132" t="s">
        <v>70</v>
      </c>
      <c r="H12" s="132" t="s">
        <v>76</v>
      </c>
      <c r="I12" s="132" t="s">
        <v>76</v>
      </c>
      <c r="J12" s="132" t="s">
        <v>70</v>
      </c>
      <c r="K12" s="132" t="s">
        <v>70</v>
      </c>
      <c r="L12" s="132" t="s">
        <v>76</v>
      </c>
      <c r="M12" s="132" t="s">
        <v>70</v>
      </c>
      <c r="N12" s="157"/>
      <c r="O12" s="392">
        <v>0.25</v>
      </c>
      <c r="P12" s="393">
        <v>1</v>
      </c>
    </row>
    <row r="13" spans="1:18" x14ac:dyDescent="0.2">
      <c r="A13" s="142"/>
      <c r="B13" s="82">
        <v>1.3</v>
      </c>
      <c r="C13" s="80" t="s">
        <v>73</v>
      </c>
      <c r="D13" s="132" t="s">
        <v>72</v>
      </c>
      <c r="E13" s="132" t="s">
        <v>69</v>
      </c>
      <c r="F13" s="132" t="s">
        <v>72</v>
      </c>
      <c r="G13" s="132" t="s">
        <v>70</v>
      </c>
      <c r="H13" s="132" t="s">
        <v>70</v>
      </c>
      <c r="I13" s="132" t="s">
        <v>70</v>
      </c>
      <c r="J13" s="132" t="s">
        <v>70</v>
      </c>
      <c r="K13" s="132" t="s">
        <v>70</v>
      </c>
      <c r="L13" s="132" t="s">
        <v>72</v>
      </c>
      <c r="M13" s="132" t="s">
        <v>70</v>
      </c>
      <c r="N13" s="156"/>
      <c r="O13" s="392">
        <v>0</v>
      </c>
      <c r="P13" s="393">
        <v>1</v>
      </c>
    </row>
    <row r="14" spans="1:18" x14ac:dyDescent="0.2">
      <c r="A14" s="138">
        <v>2</v>
      </c>
      <c r="B14" s="139" t="s">
        <v>13</v>
      </c>
      <c r="C14" s="140"/>
      <c r="D14" s="81"/>
      <c r="E14" s="81"/>
      <c r="F14" s="81"/>
      <c r="G14" s="81"/>
      <c r="H14" s="81"/>
      <c r="I14" s="81"/>
      <c r="J14" s="81"/>
      <c r="K14" s="81"/>
      <c r="L14" s="81"/>
      <c r="M14" s="81"/>
      <c r="N14" s="156"/>
      <c r="O14" s="386"/>
      <c r="P14" s="387"/>
    </row>
    <row r="15" spans="1:18" ht="25.5" x14ac:dyDescent="0.2">
      <c r="A15" s="142"/>
      <c r="B15" s="82">
        <v>2.1</v>
      </c>
      <c r="C15" s="80" t="s">
        <v>74</v>
      </c>
      <c r="D15" s="132" t="s">
        <v>76</v>
      </c>
      <c r="E15" s="132" t="s">
        <v>72</v>
      </c>
      <c r="F15" s="132" t="s">
        <v>70</v>
      </c>
      <c r="G15" s="132" t="s">
        <v>72</v>
      </c>
      <c r="H15" s="132" t="s">
        <v>76</v>
      </c>
      <c r="I15" s="132" t="s">
        <v>70</v>
      </c>
      <c r="J15" s="132" t="s">
        <v>70</v>
      </c>
      <c r="K15" s="132" t="s">
        <v>70</v>
      </c>
      <c r="L15" s="132" t="s">
        <v>72</v>
      </c>
      <c r="M15" s="132" t="s">
        <v>76</v>
      </c>
      <c r="N15" s="156"/>
      <c r="O15" s="392">
        <v>0</v>
      </c>
      <c r="P15" s="393">
        <v>1</v>
      </c>
    </row>
    <row r="16" spans="1:18" x14ac:dyDescent="0.2">
      <c r="A16" s="142"/>
      <c r="B16" s="135">
        <v>2.2000000000000002</v>
      </c>
      <c r="C16" s="136" t="s">
        <v>75</v>
      </c>
      <c r="D16" s="132" t="s">
        <v>76</v>
      </c>
      <c r="E16" s="132" t="s">
        <v>70</v>
      </c>
      <c r="F16" s="132" t="s">
        <v>70</v>
      </c>
      <c r="G16" s="132" t="s">
        <v>69</v>
      </c>
      <c r="H16" s="132" t="s">
        <v>69</v>
      </c>
      <c r="I16" s="132" t="s">
        <v>70</v>
      </c>
      <c r="J16" s="132" t="s">
        <v>70</v>
      </c>
      <c r="K16" s="132" t="s">
        <v>70</v>
      </c>
      <c r="L16" s="132" t="s">
        <v>70</v>
      </c>
      <c r="M16" s="132" t="s">
        <v>76</v>
      </c>
      <c r="N16" s="156"/>
      <c r="O16" s="392">
        <v>0</v>
      </c>
      <c r="P16" s="393">
        <v>1</v>
      </c>
    </row>
    <row r="17" spans="1:16" x14ac:dyDescent="0.2">
      <c r="A17" s="138">
        <v>3</v>
      </c>
      <c r="B17" s="139" t="s">
        <v>77</v>
      </c>
      <c r="C17" s="140"/>
      <c r="D17" s="134"/>
      <c r="E17" s="81"/>
      <c r="F17" s="81"/>
      <c r="G17" s="81"/>
      <c r="H17" s="81"/>
      <c r="I17" s="81"/>
      <c r="J17" s="81"/>
      <c r="K17" s="81"/>
      <c r="L17" s="81"/>
      <c r="M17" s="81"/>
      <c r="N17" s="156"/>
      <c r="O17" s="386"/>
      <c r="P17" s="387"/>
    </row>
    <row r="18" spans="1:16" x14ac:dyDescent="0.2">
      <c r="A18" s="142"/>
      <c r="B18" s="137">
        <v>3.1</v>
      </c>
      <c r="C18" s="77" t="s">
        <v>78</v>
      </c>
      <c r="D18" s="132" t="s">
        <v>76</v>
      </c>
      <c r="E18" s="132" t="s">
        <v>69</v>
      </c>
      <c r="F18" s="132" t="s">
        <v>70</v>
      </c>
      <c r="G18" s="132" t="s">
        <v>69</v>
      </c>
      <c r="H18" s="132" t="s">
        <v>69</v>
      </c>
      <c r="I18" s="132" t="s">
        <v>70</v>
      </c>
      <c r="J18" s="132" t="s">
        <v>70</v>
      </c>
      <c r="K18" s="132" t="s">
        <v>70</v>
      </c>
      <c r="L18" s="132" t="s">
        <v>70</v>
      </c>
      <c r="M18" s="132" t="s">
        <v>69</v>
      </c>
      <c r="N18" s="156"/>
      <c r="O18" s="392">
        <v>0</v>
      </c>
      <c r="P18" s="393">
        <v>0.75</v>
      </c>
    </row>
    <row r="19" spans="1:16" x14ac:dyDescent="0.2">
      <c r="A19" s="142"/>
      <c r="B19" s="82" t="s">
        <v>79</v>
      </c>
      <c r="C19" s="80" t="s">
        <v>80</v>
      </c>
      <c r="D19" s="132" t="s">
        <v>72</v>
      </c>
      <c r="E19" s="132" t="s">
        <v>70</v>
      </c>
      <c r="F19" s="132" t="s">
        <v>70</v>
      </c>
      <c r="G19" s="132" t="s">
        <v>69</v>
      </c>
      <c r="H19" s="132" t="s">
        <v>76</v>
      </c>
      <c r="I19" s="132" t="s">
        <v>70</v>
      </c>
      <c r="J19" s="132" t="s">
        <v>70</v>
      </c>
      <c r="K19" s="132" t="s">
        <v>70</v>
      </c>
      <c r="L19" s="132" t="s">
        <v>70</v>
      </c>
      <c r="M19" s="132" t="s">
        <v>69</v>
      </c>
      <c r="N19" s="156"/>
      <c r="O19" s="392">
        <v>0.25</v>
      </c>
      <c r="P19" s="393">
        <v>0.5</v>
      </c>
    </row>
    <row r="20" spans="1:16" x14ac:dyDescent="0.2">
      <c r="A20" s="138">
        <v>4</v>
      </c>
      <c r="B20" s="139" t="s">
        <v>81</v>
      </c>
      <c r="C20" s="140"/>
      <c r="D20" s="81"/>
      <c r="E20" s="81"/>
      <c r="F20" s="81"/>
      <c r="G20" s="81"/>
      <c r="H20" s="81"/>
      <c r="I20" s="81"/>
      <c r="J20" s="81"/>
      <c r="K20" s="81"/>
      <c r="L20" s="81"/>
      <c r="M20" s="81"/>
      <c r="N20" s="156"/>
      <c r="O20" s="386"/>
      <c r="P20" s="387"/>
    </row>
    <row r="21" spans="1:16" x14ac:dyDescent="0.2">
      <c r="A21" s="142"/>
      <c r="B21" s="82">
        <v>4.0999999999999996</v>
      </c>
      <c r="C21" s="80" t="s">
        <v>82</v>
      </c>
      <c r="D21" s="132" t="s">
        <v>70</v>
      </c>
      <c r="E21" s="132" t="s">
        <v>70</v>
      </c>
      <c r="F21" s="132" t="s">
        <v>70</v>
      </c>
      <c r="G21" s="132" t="s">
        <v>72</v>
      </c>
      <c r="H21" s="132" t="s">
        <v>70</v>
      </c>
      <c r="I21" s="132" t="s">
        <v>70</v>
      </c>
      <c r="J21" s="132" t="s">
        <v>70</v>
      </c>
      <c r="K21" s="132" t="s">
        <v>70</v>
      </c>
      <c r="L21" s="132" t="s">
        <v>70</v>
      </c>
      <c r="M21" s="132" t="s">
        <v>70</v>
      </c>
      <c r="N21" s="156"/>
      <c r="O21" s="392">
        <v>0.25</v>
      </c>
      <c r="P21" s="393">
        <v>0.5</v>
      </c>
    </row>
    <row r="22" spans="1:16" x14ac:dyDescent="0.2">
      <c r="A22" s="142"/>
      <c r="B22" s="82" t="s">
        <v>83</v>
      </c>
      <c r="C22" s="80" t="s">
        <v>84</v>
      </c>
      <c r="D22" s="132" t="s">
        <v>69</v>
      </c>
      <c r="E22" s="132" t="s">
        <v>70</v>
      </c>
      <c r="F22" s="132" t="s">
        <v>70</v>
      </c>
      <c r="G22" s="132" t="s">
        <v>70</v>
      </c>
      <c r="H22" s="132" t="s">
        <v>70</v>
      </c>
      <c r="I22" s="132" t="s">
        <v>70</v>
      </c>
      <c r="J22" s="132" t="s">
        <v>70</v>
      </c>
      <c r="K22" s="132" t="s">
        <v>70</v>
      </c>
      <c r="L22" s="132" t="s">
        <v>70</v>
      </c>
      <c r="M22" s="132" t="s">
        <v>70</v>
      </c>
      <c r="N22" s="156"/>
      <c r="O22" s="392">
        <v>0.25</v>
      </c>
      <c r="P22" s="393">
        <v>0.5</v>
      </c>
    </row>
    <row r="23" spans="1:16" ht="25.5" customHeight="1" x14ac:dyDescent="0.2">
      <c r="A23" s="142"/>
      <c r="B23" s="82" t="s">
        <v>85</v>
      </c>
      <c r="C23" s="83" t="s">
        <v>86</v>
      </c>
      <c r="D23" s="132" t="s">
        <v>76</v>
      </c>
      <c r="E23" s="132" t="s">
        <v>70</v>
      </c>
      <c r="F23" s="132" t="s">
        <v>70</v>
      </c>
      <c r="G23" s="132" t="s">
        <v>76</v>
      </c>
      <c r="H23" s="132" t="s">
        <v>70</v>
      </c>
      <c r="I23" s="132" t="s">
        <v>70</v>
      </c>
      <c r="J23" s="132" t="s">
        <v>70</v>
      </c>
      <c r="K23" s="132" t="s">
        <v>70</v>
      </c>
      <c r="L23" s="132" t="s">
        <v>70</v>
      </c>
      <c r="M23" s="132" t="s">
        <v>70</v>
      </c>
      <c r="N23" s="156"/>
      <c r="O23" s="392">
        <v>0.25</v>
      </c>
      <c r="P23" s="393">
        <v>0.5</v>
      </c>
    </row>
    <row r="24" spans="1:16" x14ac:dyDescent="0.2">
      <c r="A24" s="142"/>
      <c r="B24" s="82" t="s">
        <v>87</v>
      </c>
      <c r="C24" s="80" t="s">
        <v>88</v>
      </c>
      <c r="D24" s="132" t="s">
        <v>72</v>
      </c>
      <c r="E24" s="132" t="s">
        <v>70</v>
      </c>
      <c r="F24" s="132" t="s">
        <v>70</v>
      </c>
      <c r="G24" s="132" t="s">
        <v>72</v>
      </c>
      <c r="H24" s="132" t="s">
        <v>70</v>
      </c>
      <c r="I24" s="132" t="s">
        <v>70</v>
      </c>
      <c r="J24" s="132" t="s">
        <v>70</v>
      </c>
      <c r="K24" s="132" t="s">
        <v>70</v>
      </c>
      <c r="L24" s="132" t="s">
        <v>70</v>
      </c>
      <c r="M24" s="132" t="s">
        <v>70</v>
      </c>
      <c r="N24" s="156"/>
      <c r="O24" s="392">
        <v>0.5</v>
      </c>
      <c r="P24" s="393">
        <v>0.5</v>
      </c>
    </row>
    <row r="25" spans="1:16" x14ac:dyDescent="0.2">
      <c r="A25" s="142"/>
      <c r="B25" s="82">
        <v>4.3</v>
      </c>
      <c r="C25" s="80" t="s">
        <v>89</v>
      </c>
      <c r="D25" s="132" t="s">
        <v>72</v>
      </c>
      <c r="E25" s="132" t="s">
        <v>70</v>
      </c>
      <c r="F25" s="132" t="s">
        <v>70</v>
      </c>
      <c r="G25" s="132" t="s">
        <v>72</v>
      </c>
      <c r="H25" s="132" t="s">
        <v>70</v>
      </c>
      <c r="I25" s="132" t="s">
        <v>70</v>
      </c>
      <c r="J25" s="132" t="s">
        <v>70</v>
      </c>
      <c r="K25" s="132" t="s">
        <v>70</v>
      </c>
      <c r="L25" s="132" t="s">
        <v>70</v>
      </c>
      <c r="M25" s="132" t="s">
        <v>69</v>
      </c>
      <c r="N25" s="156"/>
      <c r="O25" s="392">
        <v>0.5</v>
      </c>
      <c r="P25" s="393">
        <v>0.5</v>
      </c>
    </row>
    <row r="26" spans="1:16" x14ac:dyDescent="0.2">
      <c r="A26" s="142"/>
      <c r="B26" s="82">
        <v>4.4000000000000004</v>
      </c>
      <c r="C26" s="80" t="s">
        <v>90</v>
      </c>
      <c r="D26" s="132" t="s">
        <v>72</v>
      </c>
      <c r="E26" s="132" t="s">
        <v>70</v>
      </c>
      <c r="F26" s="132" t="s">
        <v>70</v>
      </c>
      <c r="G26" s="132" t="s">
        <v>72</v>
      </c>
      <c r="H26" s="132" t="s">
        <v>70</v>
      </c>
      <c r="I26" s="132" t="s">
        <v>70</v>
      </c>
      <c r="J26" s="132" t="s">
        <v>70</v>
      </c>
      <c r="K26" s="132" t="s">
        <v>69</v>
      </c>
      <c r="L26" s="132" t="s">
        <v>70</v>
      </c>
      <c r="M26" s="132" t="s">
        <v>70</v>
      </c>
      <c r="N26" s="156"/>
      <c r="O26" s="392">
        <v>0.5</v>
      </c>
      <c r="P26" s="393">
        <v>0.5</v>
      </c>
    </row>
    <row r="27" spans="1:16" x14ac:dyDescent="0.2">
      <c r="A27" s="138">
        <v>5</v>
      </c>
      <c r="B27" s="139" t="s">
        <v>91</v>
      </c>
      <c r="C27" s="140"/>
      <c r="D27" s="81"/>
      <c r="E27" s="81"/>
      <c r="F27" s="81"/>
      <c r="G27" s="81"/>
      <c r="H27" s="81"/>
      <c r="I27" s="81"/>
      <c r="J27" s="81"/>
      <c r="K27" s="81"/>
      <c r="L27" s="81"/>
      <c r="M27" s="81"/>
      <c r="N27" s="156"/>
      <c r="O27" s="388"/>
      <c r="P27" s="389"/>
    </row>
    <row r="28" spans="1:16" x14ac:dyDescent="0.2">
      <c r="A28" s="142"/>
      <c r="B28" s="82">
        <v>5.0999999999999996</v>
      </c>
      <c r="C28" s="80" t="s">
        <v>92</v>
      </c>
      <c r="D28" s="132" t="s">
        <v>72</v>
      </c>
      <c r="E28" s="132" t="s">
        <v>70</v>
      </c>
      <c r="F28" s="132" t="s">
        <v>70</v>
      </c>
      <c r="G28" s="132" t="s">
        <v>72</v>
      </c>
      <c r="H28" s="132" t="s">
        <v>70</v>
      </c>
      <c r="I28" s="132" t="s">
        <v>70</v>
      </c>
      <c r="J28" s="132" t="s">
        <v>70</v>
      </c>
      <c r="K28" s="132" t="s">
        <v>70</v>
      </c>
      <c r="L28" s="132" t="s">
        <v>69</v>
      </c>
      <c r="M28" s="132" t="s">
        <v>70</v>
      </c>
      <c r="N28" s="156"/>
      <c r="O28" s="392">
        <v>0.25</v>
      </c>
      <c r="P28" s="393">
        <v>0.5</v>
      </c>
    </row>
    <row r="29" spans="1:16" x14ac:dyDescent="0.2">
      <c r="A29" s="142"/>
      <c r="B29" s="82">
        <v>5.2</v>
      </c>
      <c r="C29" s="80" t="s">
        <v>93</v>
      </c>
      <c r="D29" s="132" t="s">
        <v>72</v>
      </c>
      <c r="E29" s="132" t="s">
        <v>70</v>
      </c>
      <c r="F29" s="132" t="s">
        <v>70</v>
      </c>
      <c r="G29" s="132" t="s">
        <v>70</v>
      </c>
      <c r="H29" s="132" t="s">
        <v>72</v>
      </c>
      <c r="I29" s="132" t="s">
        <v>70</v>
      </c>
      <c r="J29" s="132" t="s">
        <v>70</v>
      </c>
      <c r="K29" s="132" t="s">
        <v>70</v>
      </c>
      <c r="L29" s="132" t="s">
        <v>69</v>
      </c>
      <c r="M29" s="132" t="s">
        <v>70</v>
      </c>
      <c r="N29" s="156"/>
      <c r="O29" s="392">
        <v>0.25</v>
      </c>
      <c r="P29" s="393">
        <v>0.5</v>
      </c>
    </row>
    <row r="30" spans="1:16" x14ac:dyDescent="0.2">
      <c r="A30" s="138">
        <v>6</v>
      </c>
      <c r="B30" s="139" t="s">
        <v>14</v>
      </c>
      <c r="C30" s="140"/>
      <c r="D30" s="81"/>
      <c r="E30" s="81"/>
      <c r="F30" s="81"/>
      <c r="G30" s="81"/>
      <c r="H30" s="81"/>
      <c r="I30" s="81"/>
      <c r="J30" s="81"/>
      <c r="K30" s="81"/>
      <c r="L30" s="81"/>
      <c r="M30" s="81"/>
      <c r="N30" s="156"/>
      <c r="O30" s="388"/>
      <c r="P30" s="389"/>
    </row>
    <row r="31" spans="1:16" x14ac:dyDescent="0.2">
      <c r="A31" s="142"/>
      <c r="B31" s="82">
        <v>6.1</v>
      </c>
      <c r="C31" s="80" t="s">
        <v>94</v>
      </c>
      <c r="D31" s="132" t="s">
        <v>72</v>
      </c>
      <c r="E31" s="132" t="s">
        <v>70</v>
      </c>
      <c r="F31" s="132" t="s">
        <v>70</v>
      </c>
      <c r="G31" s="132" t="s">
        <v>70</v>
      </c>
      <c r="H31" s="132" t="s">
        <v>69</v>
      </c>
      <c r="I31" s="132" t="s">
        <v>70</v>
      </c>
      <c r="J31" s="132" t="s">
        <v>70</v>
      </c>
      <c r="K31" s="132" t="s">
        <v>70</v>
      </c>
      <c r="L31" s="132" t="s">
        <v>69</v>
      </c>
      <c r="M31" s="132" t="s">
        <v>70</v>
      </c>
      <c r="N31" s="156"/>
      <c r="O31" s="392">
        <v>0.25</v>
      </c>
      <c r="P31" s="393">
        <v>0.5</v>
      </c>
    </row>
    <row r="32" spans="1:16" x14ac:dyDescent="0.2">
      <c r="A32" s="138">
        <v>7</v>
      </c>
      <c r="B32" s="139" t="s">
        <v>233</v>
      </c>
      <c r="C32" s="140"/>
      <c r="D32" s="81"/>
      <c r="E32" s="81"/>
      <c r="F32" s="81"/>
      <c r="G32" s="81"/>
      <c r="H32" s="81"/>
      <c r="I32" s="81"/>
      <c r="J32" s="81"/>
      <c r="K32" s="81"/>
      <c r="L32" s="81"/>
      <c r="M32" s="81"/>
      <c r="N32" s="156"/>
      <c r="O32" s="388"/>
      <c r="P32" s="389"/>
    </row>
    <row r="33" spans="1:16" ht="25.5" x14ac:dyDescent="0.2">
      <c r="A33" s="142"/>
      <c r="B33" s="82">
        <v>7.1</v>
      </c>
      <c r="C33" s="84" t="s">
        <v>186</v>
      </c>
      <c r="D33" s="132" t="s">
        <v>69</v>
      </c>
      <c r="E33" s="132" t="s">
        <v>69</v>
      </c>
      <c r="F33" s="132" t="s">
        <v>69</v>
      </c>
      <c r="G33" s="132" t="s">
        <v>72</v>
      </c>
      <c r="H33" s="132" t="s">
        <v>69</v>
      </c>
      <c r="I33" s="132" t="s">
        <v>70</v>
      </c>
      <c r="J33" s="132" t="s">
        <v>70</v>
      </c>
      <c r="K33" s="132" t="s">
        <v>70</v>
      </c>
      <c r="L33" s="132" t="s">
        <v>70</v>
      </c>
      <c r="M33" s="132" t="s">
        <v>69</v>
      </c>
      <c r="N33" s="158"/>
      <c r="O33" s="392">
        <v>0</v>
      </c>
      <c r="P33" s="393">
        <v>0.5</v>
      </c>
    </row>
    <row r="34" spans="1:16" ht="25.5" x14ac:dyDescent="0.2">
      <c r="A34" s="142"/>
      <c r="B34" s="82">
        <v>7.2</v>
      </c>
      <c r="C34" s="85" t="s">
        <v>234</v>
      </c>
      <c r="D34" s="132" t="s">
        <v>69</v>
      </c>
      <c r="E34" s="132" t="s">
        <v>69</v>
      </c>
      <c r="F34" s="132" t="s">
        <v>69</v>
      </c>
      <c r="G34" s="132" t="s">
        <v>72</v>
      </c>
      <c r="H34" s="132" t="s">
        <v>69</v>
      </c>
      <c r="I34" s="132" t="s">
        <v>70</v>
      </c>
      <c r="J34" s="132" t="s">
        <v>70</v>
      </c>
      <c r="K34" s="132" t="s">
        <v>70</v>
      </c>
      <c r="L34" s="132" t="s">
        <v>70</v>
      </c>
      <c r="M34" s="132" t="s">
        <v>70</v>
      </c>
      <c r="N34" s="158"/>
      <c r="O34" s="392">
        <v>0</v>
      </c>
      <c r="P34" s="393">
        <v>0.5</v>
      </c>
    </row>
    <row r="35" spans="1:16" ht="25.5" x14ac:dyDescent="0.2">
      <c r="A35" s="142"/>
      <c r="B35" s="82">
        <v>7.3</v>
      </c>
      <c r="C35" s="84" t="s">
        <v>187</v>
      </c>
      <c r="D35" s="132" t="s">
        <v>69</v>
      </c>
      <c r="E35" s="132" t="s">
        <v>69</v>
      </c>
      <c r="F35" s="132" t="s">
        <v>69</v>
      </c>
      <c r="G35" s="132" t="s">
        <v>72</v>
      </c>
      <c r="H35" s="132" t="s">
        <v>69</v>
      </c>
      <c r="I35" s="132" t="s">
        <v>70</v>
      </c>
      <c r="J35" s="132" t="s">
        <v>70</v>
      </c>
      <c r="K35" s="132" t="s">
        <v>70</v>
      </c>
      <c r="L35" s="132" t="s">
        <v>70</v>
      </c>
      <c r="M35" s="132" t="s">
        <v>70</v>
      </c>
      <c r="N35" s="158"/>
      <c r="O35" s="392">
        <v>0.25</v>
      </c>
      <c r="P35" s="393">
        <v>0.5</v>
      </c>
    </row>
    <row r="36" spans="1:16" ht="25.5" x14ac:dyDescent="0.2">
      <c r="A36" s="142"/>
      <c r="B36" s="82">
        <v>7.4</v>
      </c>
      <c r="C36" s="84" t="s">
        <v>161</v>
      </c>
      <c r="D36" s="132" t="s">
        <v>72</v>
      </c>
      <c r="E36" s="132" t="s">
        <v>70</v>
      </c>
      <c r="F36" s="132" t="s">
        <v>70</v>
      </c>
      <c r="G36" s="132" t="s">
        <v>70</v>
      </c>
      <c r="H36" s="132" t="s">
        <v>70</v>
      </c>
      <c r="I36" s="132" t="s">
        <v>70</v>
      </c>
      <c r="J36" s="132" t="s">
        <v>70</v>
      </c>
      <c r="K36" s="132" t="s">
        <v>70</v>
      </c>
      <c r="L36" s="132" t="s">
        <v>70</v>
      </c>
      <c r="M36" s="132" t="s">
        <v>69</v>
      </c>
      <c r="N36" s="158"/>
      <c r="O36" s="392">
        <v>0</v>
      </c>
      <c r="P36" s="393">
        <v>0.5</v>
      </c>
    </row>
    <row r="37" spans="1:16" ht="25.5" x14ac:dyDescent="0.2">
      <c r="A37" s="142"/>
      <c r="B37" s="82">
        <v>7.5</v>
      </c>
      <c r="C37" s="84" t="s">
        <v>162</v>
      </c>
      <c r="D37" s="132" t="s">
        <v>69</v>
      </c>
      <c r="E37" s="132" t="s">
        <v>70</v>
      </c>
      <c r="F37" s="132" t="s">
        <v>70</v>
      </c>
      <c r="G37" s="132" t="s">
        <v>70</v>
      </c>
      <c r="H37" s="132" t="s">
        <v>69</v>
      </c>
      <c r="I37" s="132" t="s">
        <v>70</v>
      </c>
      <c r="J37" s="132" t="s">
        <v>70</v>
      </c>
      <c r="K37" s="132" t="s">
        <v>76</v>
      </c>
      <c r="L37" s="132" t="s">
        <v>70</v>
      </c>
      <c r="M37" s="132" t="s">
        <v>70</v>
      </c>
      <c r="N37" s="158"/>
      <c r="O37" s="392">
        <v>0</v>
      </c>
      <c r="P37" s="393">
        <v>0.5</v>
      </c>
    </row>
    <row r="38" spans="1:16" ht="25.5" x14ac:dyDescent="0.2">
      <c r="A38" s="142"/>
      <c r="B38" s="82">
        <v>7.6</v>
      </c>
      <c r="C38" s="84" t="s">
        <v>163</v>
      </c>
      <c r="D38" s="132" t="s">
        <v>70</v>
      </c>
      <c r="E38" s="132" t="s">
        <v>70</v>
      </c>
      <c r="F38" s="132" t="s">
        <v>69</v>
      </c>
      <c r="G38" s="132" t="s">
        <v>70</v>
      </c>
      <c r="H38" s="132" t="s">
        <v>72</v>
      </c>
      <c r="I38" s="132" t="s">
        <v>69</v>
      </c>
      <c r="J38" s="132" t="s">
        <v>70</v>
      </c>
      <c r="K38" s="132" t="s">
        <v>70</v>
      </c>
      <c r="L38" s="132" t="s">
        <v>72</v>
      </c>
      <c r="M38" s="132" t="s">
        <v>70</v>
      </c>
      <c r="N38" s="158"/>
      <c r="O38" s="392">
        <v>0.5</v>
      </c>
      <c r="P38" s="393">
        <v>0.5</v>
      </c>
    </row>
    <row r="39" spans="1:16" x14ac:dyDescent="0.2">
      <c r="A39" s="138">
        <v>8</v>
      </c>
      <c r="B39" s="139" t="s">
        <v>235</v>
      </c>
      <c r="C39" s="140"/>
      <c r="D39" s="86"/>
      <c r="E39" s="86"/>
      <c r="F39" s="86"/>
      <c r="G39" s="86"/>
      <c r="H39" s="86"/>
      <c r="I39" s="86"/>
      <c r="J39" s="86"/>
      <c r="K39" s="86"/>
      <c r="L39" s="86"/>
      <c r="M39" s="86"/>
      <c r="N39" s="158"/>
      <c r="O39" s="390"/>
      <c r="P39" s="391"/>
    </row>
    <row r="40" spans="1:16" ht="25.5" x14ac:dyDescent="0.2">
      <c r="A40" s="142"/>
      <c r="B40" s="82">
        <v>8.1</v>
      </c>
      <c r="C40" s="85" t="s">
        <v>236</v>
      </c>
      <c r="D40" s="132" t="s">
        <v>69</v>
      </c>
      <c r="E40" s="132" t="s">
        <v>69</v>
      </c>
      <c r="F40" s="132" t="s">
        <v>69</v>
      </c>
      <c r="G40" s="132" t="s">
        <v>76</v>
      </c>
      <c r="H40" s="132" t="s">
        <v>69</v>
      </c>
      <c r="I40" s="132" t="s">
        <v>70</v>
      </c>
      <c r="J40" s="132" t="s">
        <v>70</v>
      </c>
      <c r="K40" s="132" t="s">
        <v>70</v>
      </c>
      <c r="L40" s="132" t="s">
        <v>70</v>
      </c>
      <c r="M40" s="132" t="s">
        <v>70</v>
      </c>
      <c r="N40" s="158"/>
      <c r="O40" s="392">
        <v>0.25</v>
      </c>
      <c r="P40" s="393">
        <v>1</v>
      </c>
    </row>
    <row r="41" spans="1:16" ht="25.5" x14ac:dyDescent="0.2">
      <c r="A41" s="142"/>
      <c r="B41" s="82">
        <v>8.1999999999999993</v>
      </c>
      <c r="C41" s="85" t="s">
        <v>237</v>
      </c>
      <c r="D41" s="132" t="s">
        <v>69</v>
      </c>
      <c r="E41" s="132" t="s">
        <v>69</v>
      </c>
      <c r="F41" s="132" t="s">
        <v>69</v>
      </c>
      <c r="G41" s="132" t="s">
        <v>76</v>
      </c>
      <c r="H41" s="132" t="s">
        <v>69</v>
      </c>
      <c r="I41" s="132" t="s">
        <v>70</v>
      </c>
      <c r="J41" s="132" t="s">
        <v>70</v>
      </c>
      <c r="K41" s="132" t="s">
        <v>70</v>
      </c>
      <c r="L41" s="132" t="s">
        <v>70</v>
      </c>
      <c r="M41" s="132" t="s">
        <v>70</v>
      </c>
      <c r="N41" s="158"/>
      <c r="O41" s="392">
        <v>0.25</v>
      </c>
      <c r="P41" s="393">
        <v>1</v>
      </c>
    </row>
    <row r="42" spans="1:16" ht="38.25" x14ac:dyDescent="0.2">
      <c r="A42" s="142"/>
      <c r="B42" s="82">
        <v>8.3000000000000007</v>
      </c>
      <c r="C42" s="84" t="s">
        <v>164</v>
      </c>
      <c r="D42" s="132" t="s">
        <v>69</v>
      </c>
      <c r="E42" s="132" t="s">
        <v>69</v>
      </c>
      <c r="F42" s="132" t="s">
        <v>69</v>
      </c>
      <c r="G42" s="132" t="s">
        <v>76</v>
      </c>
      <c r="H42" s="132" t="s">
        <v>70</v>
      </c>
      <c r="I42" s="132" t="s">
        <v>70</v>
      </c>
      <c r="J42" s="132" t="s">
        <v>70</v>
      </c>
      <c r="K42" s="132" t="s">
        <v>70</v>
      </c>
      <c r="L42" s="132" t="s">
        <v>70</v>
      </c>
      <c r="M42" s="132" t="s">
        <v>70</v>
      </c>
      <c r="N42" s="158"/>
      <c r="O42" s="392">
        <v>0.25</v>
      </c>
      <c r="P42" s="393">
        <v>1</v>
      </c>
    </row>
    <row r="43" spans="1:16" x14ac:dyDescent="0.2">
      <c r="A43" s="138">
        <v>9</v>
      </c>
      <c r="B43" s="139" t="s">
        <v>178</v>
      </c>
      <c r="C43" s="140"/>
      <c r="D43" s="86"/>
      <c r="E43" s="86"/>
      <c r="F43" s="86"/>
      <c r="G43" s="86"/>
      <c r="H43" s="86"/>
      <c r="I43" s="86"/>
      <c r="J43" s="86"/>
      <c r="K43" s="86"/>
      <c r="L43" s="86"/>
      <c r="M43" s="86"/>
      <c r="N43" s="158"/>
      <c r="O43" s="390"/>
      <c r="P43" s="391"/>
    </row>
    <row r="44" spans="1:16" ht="25.5" x14ac:dyDescent="0.2">
      <c r="A44" s="142"/>
      <c r="B44" s="82">
        <v>9.1</v>
      </c>
      <c r="C44" s="84" t="s">
        <v>183</v>
      </c>
      <c r="D44" s="132" t="s">
        <v>69</v>
      </c>
      <c r="E44" s="132" t="s">
        <v>70</v>
      </c>
      <c r="F44" s="132" t="s">
        <v>70</v>
      </c>
      <c r="G44" s="132" t="s">
        <v>69</v>
      </c>
      <c r="H44" s="132" t="s">
        <v>69</v>
      </c>
      <c r="I44" s="132" t="s">
        <v>70</v>
      </c>
      <c r="J44" s="132" t="s">
        <v>70</v>
      </c>
      <c r="K44" s="132" t="s">
        <v>72</v>
      </c>
      <c r="L44" s="132" t="s">
        <v>70</v>
      </c>
      <c r="M44" s="132" t="s">
        <v>70</v>
      </c>
      <c r="N44" s="158"/>
      <c r="O44" s="392">
        <v>0.75</v>
      </c>
      <c r="P44" s="393">
        <v>1</v>
      </c>
    </row>
    <row r="45" spans="1:16" ht="25.5" x14ac:dyDescent="0.2">
      <c r="A45" s="142"/>
      <c r="B45" s="82">
        <v>9.1999999999999993</v>
      </c>
      <c r="C45" s="85" t="s">
        <v>238</v>
      </c>
      <c r="D45" s="132" t="s">
        <v>69</v>
      </c>
      <c r="E45" s="132" t="s">
        <v>70</v>
      </c>
      <c r="F45" s="132" t="s">
        <v>70</v>
      </c>
      <c r="G45" s="132" t="s">
        <v>69</v>
      </c>
      <c r="H45" s="132" t="s">
        <v>69</v>
      </c>
      <c r="I45" s="132" t="s">
        <v>70</v>
      </c>
      <c r="J45" s="132" t="s">
        <v>70</v>
      </c>
      <c r="K45" s="132" t="s">
        <v>72</v>
      </c>
      <c r="L45" s="132" t="s">
        <v>70</v>
      </c>
      <c r="M45" s="132" t="s">
        <v>70</v>
      </c>
      <c r="N45" s="158"/>
      <c r="O45" s="392">
        <v>0.75</v>
      </c>
      <c r="P45" s="393">
        <v>1</v>
      </c>
    </row>
    <row r="46" spans="1:16" ht="38.25" x14ac:dyDescent="0.2">
      <c r="A46" s="142"/>
      <c r="B46" s="82">
        <v>9.3000000000000007</v>
      </c>
      <c r="C46" s="84" t="s">
        <v>184</v>
      </c>
      <c r="D46" s="132" t="s">
        <v>69</v>
      </c>
      <c r="E46" s="132" t="s">
        <v>70</v>
      </c>
      <c r="F46" s="132" t="s">
        <v>70</v>
      </c>
      <c r="G46" s="132" t="s">
        <v>69</v>
      </c>
      <c r="H46" s="132" t="s">
        <v>69</v>
      </c>
      <c r="I46" s="132" t="s">
        <v>70</v>
      </c>
      <c r="J46" s="132" t="s">
        <v>70</v>
      </c>
      <c r="K46" s="132" t="s">
        <v>72</v>
      </c>
      <c r="L46" s="132" t="s">
        <v>70</v>
      </c>
      <c r="M46" s="132" t="s">
        <v>70</v>
      </c>
      <c r="N46" s="158"/>
      <c r="O46" s="392">
        <v>0.75</v>
      </c>
      <c r="P46" s="393">
        <v>1</v>
      </c>
    </row>
    <row r="47" spans="1:16" ht="25.5" x14ac:dyDescent="0.2">
      <c r="A47" s="142"/>
      <c r="B47" s="82">
        <v>9.4</v>
      </c>
      <c r="C47" s="84" t="s">
        <v>185</v>
      </c>
      <c r="D47" s="132" t="s">
        <v>69</v>
      </c>
      <c r="E47" s="132" t="s">
        <v>70</v>
      </c>
      <c r="F47" s="132" t="s">
        <v>70</v>
      </c>
      <c r="G47" s="132" t="s">
        <v>69</v>
      </c>
      <c r="H47" s="132" t="s">
        <v>69</v>
      </c>
      <c r="I47" s="132" t="s">
        <v>70</v>
      </c>
      <c r="J47" s="132" t="s">
        <v>70</v>
      </c>
      <c r="K47" s="132" t="s">
        <v>72</v>
      </c>
      <c r="L47" s="132" t="s">
        <v>70</v>
      </c>
      <c r="M47" s="132" t="s">
        <v>70</v>
      </c>
      <c r="N47" s="158"/>
      <c r="O47" s="392">
        <v>0.5</v>
      </c>
      <c r="P47" s="393">
        <v>1</v>
      </c>
    </row>
    <row r="48" spans="1:16" ht="25.5" x14ac:dyDescent="0.2">
      <c r="A48" s="142"/>
      <c r="B48" s="82">
        <v>9.5</v>
      </c>
      <c r="C48" s="85" t="s">
        <v>239</v>
      </c>
      <c r="D48" s="132" t="s">
        <v>69</v>
      </c>
      <c r="E48" s="132" t="s">
        <v>70</v>
      </c>
      <c r="F48" s="132" t="s">
        <v>70</v>
      </c>
      <c r="G48" s="132" t="s">
        <v>69</v>
      </c>
      <c r="H48" s="132" t="s">
        <v>69</v>
      </c>
      <c r="I48" s="132" t="s">
        <v>70</v>
      </c>
      <c r="J48" s="132" t="s">
        <v>70</v>
      </c>
      <c r="K48" s="132" t="s">
        <v>72</v>
      </c>
      <c r="L48" s="132" t="s">
        <v>70</v>
      </c>
      <c r="M48" s="132" t="s">
        <v>70</v>
      </c>
      <c r="N48" s="158"/>
      <c r="O48" s="392">
        <v>0.5</v>
      </c>
      <c r="P48" s="393">
        <v>1</v>
      </c>
    </row>
    <row r="49" spans="1:16" ht="25.5" x14ac:dyDescent="0.2">
      <c r="A49" s="142"/>
      <c r="B49" s="82">
        <v>9.6</v>
      </c>
      <c r="C49" s="85" t="s">
        <v>240</v>
      </c>
      <c r="D49" s="132" t="s">
        <v>69</v>
      </c>
      <c r="E49" s="132" t="s">
        <v>70</v>
      </c>
      <c r="F49" s="132" t="s">
        <v>70</v>
      </c>
      <c r="G49" s="132" t="s">
        <v>69</v>
      </c>
      <c r="H49" s="132" t="s">
        <v>69</v>
      </c>
      <c r="I49" s="132" t="s">
        <v>70</v>
      </c>
      <c r="J49" s="132" t="s">
        <v>70</v>
      </c>
      <c r="K49" s="132" t="s">
        <v>72</v>
      </c>
      <c r="L49" s="132" t="s">
        <v>70</v>
      </c>
      <c r="M49" s="132" t="s">
        <v>69</v>
      </c>
      <c r="N49" s="158"/>
      <c r="O49" s="392">
        <v>0.5</v>
      </c>
      <c r="P49" s="393">
        <v>1</v>
      </c>
    </row>
    <row r="50" spans="1:16" x14ac:dyDescent="0.2">
      <c r="A50" s="138">
        <v>10</v>
      </c>
      <c r="B50" s="139" t="s">
        <v>179</v>
      </c>
      <c r="C50" s="140"/>
      <c r="D50" s="86"/>
      <c r="E50" s="86"/>
      <c r="F50" s="86"/>
      <c r="G50" s="86"/>
      <c r="H50" s="86"/>
      <c r="I50" s="86"/>
      <c r="J50" s="86"/>
      <c r="K50" s="86"/>
      <c r="L50" s="86"/>
      <c r="M50" s="86"/>
      <c r="N50" s="158"/>
      <c r="O50" s="390"/>
      <c r="P50" s="391"/>
    </row>
    <row r="51" spans="1:16" x14ac:dyDescent="0.2">
      <c r="A51" s="142"/>
      <c r="B51" s="82">
        <v>10.1</v>
      </c>
      <c r="C51" s="84" t="s">
        <v>180</v>
      </c>
      <c r="D51" s="132" t="s">
        <v>70</v>
      </c>
      <c r="E51" s="132" t="s">
        <v>72</v>
      </c>
      <c r="F51" s="132" t="s">
        <v>70</v>
      </c>
      <c r="G51" s="132" t="s">
        <v>70</v>
      </c>
      <c r="H51" s="132" t="s">
        <v>70</v>
      </c>
      <c r="I51" s="132" t="s">
        <v>70</v>
      </c>
      <c r="J51" s="132" t="s">
        <v>70</v>
      </c>
      <c r="K51" s="132" t="s">
        <v>70</v>
      </c>
      <c r="L51" s="132" t="s">
        <v>70</v>
      </c>
      <c r="M51" s="132" t="s">
        <v>70</v>
      </c>
      <c r="N51" s="158"/>
      <c r="O51" s="392">
        <v>0</v>
      </c>
      <c r="P51" s="393">
        <v>1</v>
      </c>
    </row>
    <row r="52" spans="1:16" x14ac:dyDescent="0.2">
      <c r="A52" s="142"/>
      <c r="B52" s="82">
        <v>10.199999999999999</v>
      </c>
      <c r="C52" s="84" t="s">
        <v>181</v>
      </c>
      <c r="D52" s="132" t="s">
        <v>70</v>
      </c>
      <c r="E52" s="132" t="s">
        <v>72</v>
      </c>
      <c r="F52" s="132" t="s">
        <v>70</v>
      </c>
      <c r="G52" s="132" t="s">
        <v>70</v>
      </c>
      <c r="H52" s="132" t="s">
        <v>70</v>
      </c>
      <c r="I52" s="132" t="s">
        <v>70</v>
      </c>
      <c r="J52" s="132" t="s">
        <v>70</v>
      </c>
      <c r="K52" s="132" t="s">
        <v>70</v>
      </c>
      <c r="L52" s="132" t="s">
        <v>70</v>
      </c>
      <c r="M52" s="132" t="s">
        <v>70</v>
      </c>
      <c r="N52" s="158"/>
      <c r="O52" s="392">
        <v>0</v>
      </c>
      <c r="P52" s="393">
        <v>1</v>
      </c>
    </row>
    <row r="53" spans="1:16" ht="25.5" x14ac:dyDescent="0.2">
      <c r="A53" s="143"/>
      <c r="B53" s="82">
        <v>10.3</v>
      </c>
      <c r="C53" s="84" t="s">
        <v>182</v>
      </c>
      <c r="D53" s="132" t="s">
        <v>70</v>
      </c>
      <c r="E53" s="132" t="s">
        <v>72</v>
      </c>
      <c r="F53" s="132" t="s">
        <v>70</v>
      </c>
      <c r="G53" s="132" t="s">
        <v>70</v>
      </c>
      <c r="H53" s="132" t="s">
        <v>70</v>
      </c>
      <c r="I53" s="132" t="s">
        <v>70</v>
      </c>
      <c r="J53" s="132" t="s">
        <v>70</v>
      </c>
      <c r="K53" s="132" t="s">
        <v>70</v>
      </c>
      <c r="L53" s="132" t="s">
        <v>70</v>
      </c>
      <c r="M53" s="132" t="s">
        <v>70</v>
      </c>
      <c r="N53" s="158"/>
      <c r="O53" s="392">
        <v>0</v>
      </c>
      <c r="P53" s="393">
        <v>1</v>
      </c>
    </row>
  </sheetData>
  <mergeCells count="6">
    <mergeCell ref="A1:XFD1"/>
    <mergeCell ref="A5:C5"/>
    <mergeCell ref="O7:P7"/>
    <mergeCell ref="D8:M8"/>
    <mergeCell ref="A8:C9"/>
    <mergeCell ref="D7:M7"/>
  </mergeCells>
  <dataValidations count="1">
    <dataValidation type="list" allowBlank="1" showInputMessage="1" showErrorMessage="1" sqref="D11:M53">
      <formula1>LOE</formula1>
    </dataValidation>
  </dataValidations>
  <hyperlinks>
    <hyperlink ref="A5" location="Overview!A1" display="Overview"/>
  </hyperlinks>
  <pageMargins left="0.7" right="0.7" top="0.75" bottom="0.75" header="0.3" footer="0.3"/>
  <pageSetup paperSize="5" scale="8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rgb="FFFFC000"/>
    <pageSetUpPr fitToPage="1"/>
  </sheetPr>
  <dimension ref="A1:P130"/>
  <sheetViews>
    <sheetView showGridLines="0" topLeftCell="A49" zoomScale="85" zoomScaleNormal="85" workbookViewId="0">
      <selection activeCell="H31" sqref="H31"/>
    </sheetView>
  </sheetViews>
  <sheetFormatPr defaultColWidth="8.85546875" defaultRowHeight="12.75" outlineLevelRow="1" x14ac:dyDescent="0.2"/>
  <cols>
    <col min="1" max="2" width="8.85546875" style="229"/>
    <col min="3" max="3" width="85.85546875" style="229" bestFit="1" customWidth="1"/>
    <col min="4" max="4" width="14.140625" style="330" customWidth="1"/>
    <col min="5" max="5" width="14" style="229" customWidth="1"/>
    <col min="6" max="7" width="14.140625" style="229" bestFit="1" customWidth="1"/>
    <col min="8" max="16384" width="8.85546875" style="229"/>
  </cols>
  <sheetData>
    <row r="1" spans="1:16" s="447" customFormat="1" ht="51.75" customHeight="1" x14ac:dyDescent="0.5"/>
    <row r="2" spans="1:16" s="321" customFormat="1" ht="16.5" customHeight="1" x14ac:dyDescent="0.5">
      <c r="A2" s="121" t="s">
        <v>358</v>
      </c>
      <c r="B2" s="320"/>
    </row>
    <row r="3" spans="1:16" s="322" customFormat="1" ht="19.5" customHeight="1" x14ac:dyDescent="0.5">
      <c r="A3" s="122" t="s">
        <v>302</v>
      </c>
    </row>
    <row r="4" spans="1:16" s="324" customFormat="1" ht="9" customHeight="1" x14ac:dyDescent="0.3">
      <c r="P4" s="325"/>
    </row>
    <row r="5" spans="1:16" s="324" customFormat="1" ht="12" customHeight="1" x14ac:dyDescent="0.3">
      <c r="A5" s="411" t="s">
        <v>194</v>
      </c>
      <c r="B5" s="411"/>
      <c r="C5" s="323"/>
      <c r="P5" s="325"/>
    </row>
    <row r="6" spans="1:16" s="324" customFormat="1" ht="10.5" customHeight="1" thickBot="1" x14ac:dyDescent="0.35">
      <c r="A6" s="323"/>
      <c r="B6" s="323"/>
      <c r="C6" s="323"/>
      <c r="P6" s="325"/>
    </row>
    <row r="7" spans="1:16" x14ac:dyDescent="0.2">
      <c r="C7" s="451" t="s">
        <v>303</v>
      </c>
      <c r="D7" s="452"/>
      <c r="E7" s="452"/>
      <c r="F7" s="452"/>
      <c r="G7" s="453"/>
      <c r="H7" s="330"/>
    </row>
    <row r="8" spans="1:16" x14ac:dyDescent="0.2">
      <c r="C8" s="335"/>
      <c r="D8" s="362" t="s">
        <v>296</v>
      </c>
      <c r="E8" s="362" t="s">
        <v>16</v>
      </c>
      <c r="F8" s="362" t="s">
        <v>17</v>
      </c>
      <c r="G8" s="336" t="s">
        <v>18</v>
      </c>
      <c r="H8" s="330"/>
    </row>
    <row r="9" spans="1:16" x14ac:dyDescent="0.2">
      <c r="C9" s="335"/>
      <c r="D9" s="362"/>
      <c r="E9" s="362"/>
      <c r="F9" s="362"/>
      <c r="G9" s="336"/>
      <c r="H9" s="330"/>
    </row>
    <row r="10" spans="1:16" x14ac:dyDescent="0.2">
      <c r="C10" s="326" t="s">
        <v>270</v>
      </c>
      <c r="D10" s="363">
        <f>IF(D20&gt;0, NewConsumers+NewIEPDs+1, 0)</f>
        <v>2</v>
      </c>
      <c r="E10" s="363">
        <f>NewConsumers1+NewIEPDs1</f>
        <v>3</v>
      </c>
      <c r="F10" s="363">
        <f>NewConsumers2+NewIEPDs2</f>
        <v>4</v>
      </c>
      <c r="G10" s="337">
        <f>NewConsumers3+NewIEPDs3</f>
        <v>5</v>
      </c>
      <c r="H10" s="330"/>
    </row>
    <row r="11" spans="1:16" x14ac:dyDescent="0.2">
      <c r="C11" s="329"/>
      <c r="D11" s="364"/>
      <c r="E11" s="364"/>
      <c r="F11" s="364"/>
      <c r="G11" s="338"/>
      <c r="H11" s="330"/>
    </row>
    <row r="12" spans="1:16" x14ac:dyDescent="0.2">
      <c r="C12" s="326" t="s">
        <v>304</v>
      </c>
      <c r="D12" s="365"/>
      <c r="E12" s="365"/>
      <c r="F12" s="365"/>
      <c r="G12" s="339"/>
      <c r="H12" s="330"/>
    </row>
    <row r="13" spans="1:16" x14ac:dyDescent="0.2">
      <c r="C13" s="340" t="s">
        <v>199</v>
      </c>
      <c r="D13" s="366">
        <f>'3.0 Cost Variables'!C$31</f>
        <v>0</v>
      </c>
      <c r="E13" s="366">
        <f>'3.0 Cost Variables'!D$31</f>
        <v>0</v>
      </c>
      <c r="F13" s="366">
        <f>'3.0 Cost Variables'!E$31</f>
        <v>0</v>
      </c>
      <c r="G13" s="341">
        <f>'3.0 Cost Variables'!F$31</f>
        <v>0</v>
      </c>
      <c r="H13" s="330"/>
    </row>
    <row r="14" spans="1:16" x14ac:dyDescent="0.2">
      <c r="C14" s="340" t="s">
        <v>269</v>
      </c>
      <c r="D14" s="366" t="s">
        <v>305</v>
      </c>
      <c r="E14" s="366">
        <f>D97</f>
        <v>-851425.32</v>
      </c>
      <c r="F14" s="366">
        <f t="shared" ref="F14:G14" si="0">E97</f>
        <v>-1367566.6800000002</v>
      </c>
      <c r="G14" s="341">
        <f t="shared" si="0"/>
        <v>-2054833.58</v>
      </c>
      <c r="H14" s="330"/>
    </row>
    <row r="15" spans="1:16" ht="13.5" thickBot="1" x14ac:dyDescent="0.25">
      <c r="C15" s="342" t="s">
        <v>316</v>
      </c>
      <c r="D15" s="367">
        <f>SUM(D13:D14)</f>
        <v>0</v>
      </c>
      <c r="E15" s="367">
        <f t="shared" ref="E15:G15" si="1">SUM(E13:E14)</f>
        <v>-851425.32</v>
      </c>
      <c r="F15" s="367">
        <f t="shared" si="1"/>
        <v>-1367566.6800000002</v>
      </c>
      <c r="G15" s="343">
        <f t="shared" si="1"/>
        <v>-2054833.58</v>
      </c>
      <c r="H15" s="330"/>
    </row>
    <row r="16" spans="1:16" x14ac:dyDescent="0.2">
      <c r="C16" s="340"/>
      <c r="D16" s="366"/>
      <c r="E16" s="366"/>
      <c r="F16" s="366"/>
      <c r="G16" s="341"/>
      <c r="H16" s="330"/>
    </row>
    <row r="17" spans="3:8" x14ac:dyDescent="0.2">
      <c r="C17" s="340"/>
      <c r="D17" s="366"/>
      <c r="E17" s="366"/>
      <c r="F17" s="366"/>
      <c r="G17" s="341"/>
      <c r="H17" s="330"/>
    </row>
    <row r="18" spans="3:8" x14ac:dyDescent="0.2">
      <c r="C18" s="326" t="s">
        <v>306</v>
      </c>
      <c r="D18" s="368"/>
      <c r="E18" s="368"/>
      <c r="F18" s="368"/>
      <c r="G18" s="344"/>
      <c r="H18" s="330"/>
    </row>
    <row r="19" spans="3:8" outlineLevel="1" x14ac:dyDescent="0.2">
      <c r="C19" s="345" t="s">
        <v>12</v>
      </c>
      <c r="D19" s="369"/>
      <c r="E19" s="369"/>
      <c r="F19" s="369"/>
      <c r="G19" s="346"/>
      <c r="H19" s="330"/>
    </row>
    <row r="20" spans="3:8" outlineLevel="1" x14ac:dyDescent="0.2">
      <c r="C20" s="347" t="s">
        <v>20</v>
      </c>
      <c r="D20" s="366">
        <f>'5.1 Base YR'!H11</f>
        <v>35122.200000000004</v>
      </c>
      <c r="E20" s="366">
        <f>'5.2 YR1'!H11</f>
        <v>35122.200000000004</v>
      </c>
      <c r="F20" s="366">
        <f>'5.3 YR2'!H11</f>
        <v>46829.600000000006</v>
      </c>
      <c r="G20" s="341">
        <f>'5.4 YR3'!H11</f>
        <v>58537.000000000007</v>
      </c>
      <c r="H20" s="330"/>
    </row>
    <row r="21" spans="3:8" outlineLevel="1" x14ac:dyDescent="0.2">
      <c r="C21" s="347" t="s">
        <v>19</v>
      </c>
      <c r="D21" s="366">
        <f>'5.1 Base YR'!H12</f>
        <v>68817</v>
      </c>
      <c r="E21" s="366">
        <f>'5.2 YR1'!H12</f>
        <v>41290.200000000004</v>
      </c>
      <c r="F21" s="366">
        <f>'5.3 YR2'!H12</f>
        <v>55053.600000000006</v>
      </c>
      <c r="G21" s="341">
        <f>'5.4 YR3'!H12</f>
        <v>68817</v>
      </c>
      <c r="H21" s="330"/>
    </row>
    <row r="22" spans="3:8" outlineLevel="1" x14ac:dyDescent="0.2">
      <c r="C22" s="347" t="s">
        <v>21</v>
      </c>
      <c r="D22" s="366">
        <f>'5.1 Base YR'!H13</f>
        <v>27725.200000000001</v>
      </c>
      <c r="E22" s="366">
        <f>'5.2 YR1'!H13</f>
        <v>0</v>
      </c>
      <c r="F22" s="366">
        <f>'5.3 YR2'!H13</f>
        <v>0</v>
      </c>
      <c r="G22" s="341">
        <f>'5.4 YR3'!H13</f>
        <v>0</v>
      </c>
      <c r="H22" s="330"/>
    </row>
    <row r="23" spans="3:8" ht="13.5" thickBot="1" x14ac:dyDescent="0.25">
      <c r="C23" s="348" t="s">
        <v>307</v>
      </c>
      <c r="D23" s="367">
        <f>SUM(D20:D22)</f>
        <v>131664.40000000002</v>
      </c>
      <c r="E23" s="367">
        <f>SUM(E20:E22)</f>
        <v>76412.400000000009</v>
      </c>
      <c r="F23" s="367">
        <f>SUM(F20:F22)</f>
        <v>101883.20000000001</v>
      </c>
      <c r="G23" s="343">
        <f>SUM(G20:G22)</f>
        <v>127354</v>
      </c>
      <c r="H23" s="330"/>
    </row>
    <row r="24" spans="3:8" x14ac:dyDescent="0.2">
      <c r="C24" s="345"/>
      <c r="D24" s="370"/>
      <c r="E24" s="370"/>
      <c r="F24" s="370"/>
      <c r="G24" s="349"/>
      <c r="H24" s="330"/>
    </row>
    <row r="25" spans="3:8" outlineLevel="1" x14ac:dyDescent="0.2">
      <c r="C25" s="345" t="s">
        <v>13</v>
      </c>
      <c r="D25" s="366"/>
      <c r="E25" s="366"/>
      <c r="F25" s="366"/>
      <c r="G25" s="341"/>
      <c r="H25" s="330"/>
    </row>
    <row r="26" spans="3:8" outlineLevel="1" x14ac:dyDescent="0.2">
      <c r="C26" s="347" t="s">
        <v>22</v>
      </c>
      <c r="D26" s="366">
        <f>'5.1 Base YR'!H17</f>
        <v>56365.2</v>
      </c>
      <c r="E26" s="366">
        <f>'5.2 YR1'!H17</f>
        <v>0</v>
      </c>
      <c r="F26" s="366">
        <f>'5.3 YR2'!H17</f>
        <v>0</v>
      </c>
      <c r="G26" s="341">
        <f>'5.4 YR3'!H17</f>
        <v>0</v>
      </c>
      <c r="H26" s="330"/>
    </row>
    <row r="27" spans="3:8" outlineLevel="1" x14ac:dyDescent="0.2">
      <c r="C27" s="347" t="s">
        <v>23</v>
      </c>
      <c r="D27" s="366">
        <f>'5.1 Base YR'!H18</f>
        <v>28104.800000000003</v>
      </c>
      <c r="E27" s="366">
        <f>'5.2 YR1'!H18</f>
        <v>0</v>
      </c>
      <c r="F27" s="366">
        <f>'5.3 YR2'!H18</f>
        <v>0</v>
      </c>
      <c r="G27" s="341">
        <f>'5.4 YR3'!H18</f>
        <v>0</v>
      </c>
      <c r="H27" s="330"/>
    </row>
    <row r="28" spans="3:8" ht="13.5" thickBot="1" x14ac:dyDescent="0.25">
      <c r="C28" s="348" t="s">
        <v>308</v>
      </c>
      <c r="D28" s="367">
        <f>SUM(D26:D27)</f>
        <v>84470</v>
      </c>
      <c r="E28" s="367">
        <f>SUM(E26:E27)</f>
        <v>0</v>
      </c>
      <c r="F28" s="367">
        <f>SUM(F26:F27)</f>
        <v>0</v>
      </c>
      <c r="G28" s="343">
        <f>SUM(G26:G27)</f>
        <v>0</v>
      </c>
      <c r="H28" s="330"/>
    </row>
    <row r="29" spans="3:8" x14ac:dyDescent="0.2">
      <c r="C29" s="340"/>
      <c r="D29" s="366"/>
      <c r="E29" s="366"/>
      <c r="F29" s="366"/>
      <c r="G29" s="341"/>
      <c r="H29" s="330"/>
    </row>
    <row r="30" spans="3:8" outlineLevel="1" x14ac:dyDescent="0.2">
      <c r="C30" s="345" t="s">
        <v>26</v>
      </c>
      <c r="D30" s="366"/>
      <c r="E30" s="366"/>
      <c r="F30" s="366"/>
      <c r="G30" s="341"/>
      <c r="H30" s="330"/>
    </row>
    <row r="31" spans="3:8" outlineLevel="1" x14ac:dyDescent="0.2">
      <c r="C31" s="347" t="s">
        <v>24</v>
      </c>
      <c r="D31" s="366">
        <f>'5.1 Base YR'!H22</f>
        <v>24366.000000000004</v>
      </c>
      <c r="E31" s="366">
        <f>'5.2 YR1'!H22</f>
        <v>0</v>
      </c>
      <c r="F31" s="366">
        <f>'5.3 YR2'!H22</f>
        <v>0</v>
      </c>
      <c r="G31" s="341">
        <f>'5.4 YR3'!H22</f>
        <v>0</v>
      </c>
      <c r="H31" s="330"/>
    </row>
    <row r="32" spans="3:8" outlineLevel="1" x14ac:dyDescent="0.2">
      <c r="C32" s="347" t="s">
        <v>25</v>
      </c>
      <c r="D32" s="366">
        <f>'5.1 Base YR'!H23</f>
        <v>31496.000000000004</v>
      </c>
      <c r="E32" s="366">
        <f>'5.2 YR1'!H23</f>
        <v>18897.600000000002</v>
      </c>
      <c r="F32" s="366">
        <f>'5.3 YR2'!H23</f>
        <v>25196.800000000003</v>
      </c>
      <c r="G32" s="341">
        <f>'5.4 YR3'!H23</f>
        <v>31496.000000000004</v>
      </c>
      <c r="H32" s="330"/>
    </row>
    <row r="33" spans="3:8" ht="13.5" thickBot="1" x14ac:dyDescent="0.25">
      <c r="C33" s="348" t="s">
        <v>309</v>
      </c>
      <c r="D33" s="367">
        <f>SUM(D31:D32)</f>
        <v>55862.000000000007</v>
      </c>
      <c r="E33" s="367">
        <f>SUM(E31:E32)</f>
        <v>18897.600000000002</v>
      </c>
      <c r="F33" s="367">
        <f>SUM(F31:F32)</f>
        <v>25196.800000000003</v>
      </c>
      <c r="G33" s="343">
        <f>SUM(G31:G32)</f>
        <v>31496.000000000004</v>
      </c>
      <c r="H33" s="330"/>
    </row>
    <row r="34" spans="3:8" x14ac:dyDescent="0.2">
      <c r="C34" s="345"/>
      <c r="D34" s="370"/>
      <c r="E34" s="370"/>
      <c r="F34" s="370"/>
      <c r="G34" s="349"/>
      <c r="H34" s="330"/>
    </row>
    <row r="35" spans="3:8" outlineLevel="1" x14ac:dyDescent="0.2">
      <c r="C35" s="345" t="s">
        <v>27</v>
      </c>
      <c r="D35" s="366"/>
      <c r="E35" s="366"/>
      <c r="F35" s="366"/>
      <c r="G35" s="341"/>
      <c r="H35" s="330"/>
    </row>
    <row r="36" spans="3:8" outlineLevel="1" x14ac:dyDescent="0.2">
      <c r="C36" s="347" t="s">
        <v>28</v>
      </c>
      <c r="D36" s="366">
        <f>'5.1 Base YR'!H27</f>
        <v>9201</v>
      </c>
      <c r="E36" s="366">
        <f>'5.2 YR1'!H27</f>
        <v>5520.6</v>
      </c>
      <c r="F36" s="366">
        <f>'5.3 YR2'!H27</f>
        <v>7360.8</v>
      </c>
      <c r="G36" s="341">
        <f>'5.4 YR3'!H27</f>
        <v>9201</v>
      </c>
      <c r="H36" s="330"/>
    </row>
    <row r="37" spans="3:8" outlineLevel="1" x14ac:dyDescent="0.2">
      <c r="C37" s="347" t="s">
        <v>29</v>
      </c>
      <c r="D37" s="366">
        <f>'5.1 Base YR'!H28</f>
        <v>3528</v>
      </c>
      <c r="E37" s="366">
        <f>'5.2 YR1'!H28</f>
        <v>2116.8000000000002</v>
      </c>
      <c r="F37" s="366">
        <f>'5.3 YR2'!H28</f>
        <v>2822.4</v>
      </c>
      <c r="G37" s="341">
        <f>'5.4 YR3'!H28</f>
        <v>3528</v>
      </c>
      <c r="H37" s="330"/>
    </row>
    <row r="38" spans="3:8" outlineLevel="1" x14ac:dyDescent="0.2">
      <c r="C38" s="347" t="s">
        <v>30</v>
      </c>
      <c r="D38" s="366">
        <f>'5.1 Base YR'!H29</f>
        <v>24385.5</v>
      </c>
      <c r="E38" s="366">
        <f>'5.2 YR1'!H29</f>
        <v>14631.300000000001</v>
      </c>
      <c r="F38" s="366">
        <f>'5.3 YR2'!H29</f>
        <v>19508.400000000001</v>
      </c>
      <c r="G38" s="341">
        <f>'5.4 YR3'!H29</f>
        <v>24385.5</v>
      </c>
      <c r="H38" s="330"/>
    </row>
    <row r="39" spans="3:8" outlineLevel="1" x14ac:dyDescent="0.2">
      <c r="C39" s="347" t="s">
        <v>31</v>
      </c>
      <c r="D39" s="366">
        <f>'5.1 Base YR'!H30</f>
        <v>19508.400000000001</v>
      </c>
      <c r="E39" s="366">
        <f>'5.2 YR1'!H30</f>
        <v>19508.400000000001</v>
      </c>
      <c r="F39" s="366">
        <f>'5.3 YR2'!H30</f>
        <v>26011.200000000001</v>
      </c>
      <c r="G39" s="341">
        <f>'5.4 YR3'!H30</f>
        <v>32514</v>
      </c>
      <c r="H39" s="330"/>
    </row>
    <row r="40" spans="3:8" outlineLevel="1" x14ac:dyDescent="0.2">
      <c r="C40" s="347" t="s">
        <v>32</v>
      </c>
      <c r="D40" s="366">
        <f>'5.1 Base YR'!H31</f>
        <v>25508.399999999998</v>
      </c>
      <c r="E40" s="366">
        <f>'5.2 YR1'!H31</f>
        <v>25508.399999999998</v>
      </c>
      <c r="F40" s="366">
        <f>'5.3 YR2'!H31</f>
        <v>34011.199999999997</v>
      </c>
      <c r="G40" s="341">
        <f>'5.4 YR3'!H31</f>
        <v>42514</v>
      </c>
      <c r="H40" s="330"/>
    </row>
    <row r="41" spans="3:8" outlineLevel="1" x14ac:dyDescent="0.2">
      <c r="C41" s="347" t="s">
        <v>33</v>
      </c>
      <c r="D41" s="366">
        <f>'5.1 Base YR'!H32</f>
        <v>23041.920000000002</v>
      </c>
      <c r="E41" s="366">
        <f>'5.2 YR1'!H32</f>
        <v>23041.920000000002</v>
      </c>
      <c r="F41" s="366">
        <f>'5.3 YR2'!H32</f>
        <v>30722.560000000001</v>
      </c>
      <c r="G41" s="341">
        <f>'5.4 YR3'!H32</f>
        <v>38403.200000000004</v>
      </c>
      <c r="H41" s="330"/>
    </row>
    <row r="42" spans="3:8" ht="13.5" thickBot="1" x14ac:dyDescent="0.25">
      <c r="C42" s="348" t="s">
        <v>310</v>
      </c>
      <c r="D42" s="367">
        <f>SUM(D36:D41)</f>
        <v>105173.22</v>
      </c>
      <c r="E42" s="367">
        <f>SUM(E36:E41)</f>
        <v>90327.42</v>
      </c>
      <c r="F42" s="367">
        <f>SUM(F36:F41)</f>
        <v>120436.56</v>
      </c>
      <c r="G42" s="343">
        <f>SUM(G36:G41)</f>
        <v>150545.70000000001</v>
      </c>
      <c r="H42" s="330"/>
    </row>
    <row r="43" spans="3:8" x14ac:dyDescent="0.2">
      <c r="C43" s="340"/>
      <c r="D43" s="366"/>
      <c r="E43" s="366"/>
      <c r="F43" s="366"/>
      <c r="G43" s="341"/>
      <c r="H43" s="330"/>
    </row>
    <row r="44" spans="3:8" outlineLevel="1" x14ac:dyDescent="0.2">
      <c r="C44" s="345" t="s">
        <v>34</v>
      </c>
      <c r="D44" s="366"/>
      <c r="E44" s="366"/>
      <c r="F44" s="366"/>
      <c r="G44" s="341"/>
      <c r="H44" s="330"/>
    </row>
    <row r="45" spans="3:8" outlineLevel="1" x14ac:dyDescent="0.2">
      <c r="C45" s="347" t="s">
        <v>35</v>
      </c>
      <c r="D45" s="366">
        <f>'5.1 Base YR'!H36</f>
        <v>21346.5</v>
      </c>
      <c r="E45" s="366">
        <f>'5.2 YR1'!H36</f>
        <v>12807.900000000001</v>
      </c>
      <c r="F45" s="366">
        <f>'5.3 YR2'!H36</f>
        <v>17077.2</v>
      </c>
      <c r="G45" s="341">
        <f>'5.4 YR3'!H36</f>
        <v>21346.5</v>
      </c>
      <c r="H45" s="330"/>
    </row>
    <row r="46" spans="3:8" outlineLevel="1" x14ac:dyDescent="0.2">
      <c r="C46" s="347" t="s">
        <v>36</v>
      </c>
      <c r="D46" s="366">
        <f>'5.1 Base YR'!H37</f>
        <v>22038.500000000004</v>
      </c>
      <c r="E46" s="366">
        <f>'5.2 YR1'!H37</f>
        <v>13223.100000000002</v>
      </c>
      <c r="F46" s="366">
        <f>'5.3 YR2'!H37</f>
        <v>17630.800000000003</v>
      </c>
      <c r="G46" s="341">
        <f>'5.4 YR3'!H37</f>
        <v>22038.500000000004</v>
      </c>
      <c r="H46" s="330"/>
    </row>
    <row r="47" spans="3:8" ht="13.5" thickBot="1" x14ac:dyDescent="0.25">
      <c r="C47" s="348" t="str">
        <f>C44&amp;" Total"</f>
        <v>Assemble &amp; Document Total</v>
      </c>
      <c r="D47" s="367">
        <f>SUM(D45:D46)</f>
        <v>43385</v>
      </c>
      <c r="E47" s="367">
        <f>SUM(E45:E46)</f>
        <v>26031.000000000004</v>
      </c>
      <c r="F47" s="367">
        <f>SUM(F45:F46)</f>
        <v>34708</v>
      </c>
      <c r="G47" s="343">
        <f>SUM(G45:G46)</f>
        <v>43385</v>
      </c>
      <c r="H47" s="330"/>
    </row>
    <row r="48" spans="3:8" x14ac:dyDescent="0.2">
      <c r="C48" s="340"/>
      <c r="D48" s="366"/>
      <c r="E48" s="366"/>
      <c r="F48" s="366"/>
      <c r="G48" s="341"/>
      <c r="H48" s="330"/>
    </row>
    <row r="49" spans="3:8" ht="12" customHeight="1" outlineLevel="1" x14ac:dyDescent="0.2">
      <c r="C49" s="345" t="s">
        <v>14</v>
      </c>
      <c r="D49" s="366"/>
      <c r="E49" s="366"/>
      <c r="F49" s="366"/>
      <c r="G49" s="341"/>
      <c r="H49" s="330"/>
    </row>
    <row r="50" spans="3:8" outlineLevel="1" x14ac:dyDescent="0.2">
      <c r="C50" s="350" t="s">
        <v>37</v>
      </c>
      <c r="D50" s="366">
        <f>'5.1 Base YR'!H41</f>
        <v>17092</v>
      </c>
      <c r="E50" s="366">
        <f>'5.2 YR1'!H41</f>
        <v>10255.200000000001</v>
      </c>
      <c r="F50" s="366">
        <f>'5.3 YR2'!H41</f>
        <v>13673.6</v>
      </c>
      <c r="G50" s="341">
        <f>'5.4 YR3'!H41</f>
        <v>17092</v>
      </c>
      <c r="H50" s="330"/>
    </row>
    <row r="51" spans="3:8" ht="13.5" thickBot="1" x14ac:dyDescent="0.25">
      <c r="C51" s="348" t="s">
        <v>311</v>
      </c>
      <c r="D51" s="367">
        <f>D50</f>
        <v>17092</v>
      </c>
      <c r="E51" s="367">
        <f>E50</f>
        <v>10255.200000000001</v>
      </c>
      <c r="F51" s="367">
        <f>F50</f>
        <v>13673.6</v>
      </c>
      <c r="G51" s="343">
        <f>G50</f>
        <v>17092</v>
      </c>
      <c r="H51" s="330"/>
    </row>
    <row r="52" spans="3:8" x14ac:dyDescent="0.2">
      <c r="C52" s="345"/>
      <c r="D52" s="370"/>
      <c r="E52" s="370"/>
      <c r="F52" s="370"/>
      <c r="G52" s="349"/>
      <c r="H52" s="330"/>
    </row>
    <row r="53" spans="3:8" outlineLevel="1" x14ac:dyDescent="0.2">
      <c r="C53" s="345" t="s">
        <v>233</v>
      </c>
      <c r="D53" s="366"/>
      <c r="E53" s="366"/>
      <c r="F53" s="366"/>
      <c r="G53" s="341"/>
      <c r="H53" s="330"/>
    </row>
    <row r="54" spans="3:8" outlineLevel="1" x14ac:dyDescent="0.2">
      <c r="C54" s="351" t="s">
        <v>159</v>
      </c>
      <c r="D54" s="366">
        <f>'5.1 Base YR'!H45</f>
        <v>27239.600000000002</v>
      </c>
      <c r="E54" s="366">
        <f>'5.2 YR1'!H45</f>
        <v>0</v>
      </c>
      <c r="F54" s="366">
        <f>'5.3 YR2'!H45</f>
        <v>0</v>
      </c>
      <c r="G54" s="341">
        <f>'5.4 YR3'!H45</f>
        <v>0</v>
      </c>
      <c r="H54" s="330"/>
    </row>
    <row r="55" spans="3:8" outlineLevel="1" x14ac:dyDescent="0.2">
      <c r="C55" s="351" t="s">
        <v>241</v>
      </c>
      <c r="D55" s="366">
        <f>'5.1 Base YR'!H46</f>
        <v>23239.600000000002</v>
      </c>
      <c r="E55" s="366">
        <f>'5.2 YR1'!H46</f>
        <v>0</v>
      </c>
      <c r="F55" s="366">
        <f>'5.3 YR2'!H46</f>
        <v>0</v>
      </c>
      <c r="G55" s="341">
        <f>'5.4 YR3'!H46</f>
        <v>0</v>
      </c>
      <c r="H55" s="330"/>
    </row>
    <row r="56" spans="3:8" outlineLevel="1" x14ac:dyDescent="0.2">
      <c r="C56" s="351" t="s">
        <v>160</v>
      </c>
      <c r="D56" s="366">
        <f>'5.1 Base YR'!H47</f>
        <v>29049.500000000004</v>
      </c>
      <c r="E56" s="366">
        <f>'5.2 YR1'!H47</f>
        <v>17429.7</v>
      </c>
      <c r="F56" s="366">
        <f>'5.3 YR2'!H47</f>
        <v>23239.600000000002</v>
      </c>
      <c r="G56" s="341">
        <f>'5.4 YR3'!H47</f>
        <v>29049.500000000004</v>
      </c>
      <c r="H56" s="330"/>
    </row>
    <row r="57" spans="3:8" outlineLevel="1" x14ac:dyDescent="0.2">
      <c r="C57" s="351" t="s">
        <v>161</v>
      </c>
      <c r="D57" s="366">
        <f>'5.1 Base YR'!H48</f>
        <v>9644.7999999999993</v>
      </c>
      <c r="E57" s="366">
        <f>'5.2 YR1'!H48</f>
        <v>0</v>
      </c>
      <c r="F57" s="366">
        <f>'5.3 YR2'!H48</f>
        <v>0</v>
      </c>
      <c r="G57" s="341">
        <f>'5.4 YR3'!H48</f>
        <v>0</v>
      </c>
      <c r="H57" s="330"/>
    </row>
    <row r="58" spans="3:8" outlineLevel="1" x14ac:dyDescent="0.2">
      <c r="C58" s="351" t="s">
        <v>162</v>
      </c>
      <c r="D58" s="366">
        <f>'5.1 Base YR'!H49</f>
        <v>13846.64</v>
      </c>
      <c r="E58" s="366">
        <f>'5.2 YR1'!H49</f>
        <v>0</v>
      </c>
      <c r="F58" s="366">
        <f>'5.3 YR2'!H49</f>
        <v>0</v>
      </c>
      <c r="G58" s="341">
        <f>'5.4 YR3'!H49</f>
        <v>0</v>
      </c>
      <c r="H58" s="330"/>
    </row>
    <row r="59" spans="3:8" outlineLevel="1" x14ac:dyDescent="0.2">
      <c r="C59" s="351" t="s">
        <v>163</v>
      </c>
      <c r="D59" s="366">
        <f>'5.1 Base YR'!H50</f>
        <v>39743.4</v>
      </c>
      <c r="E59" s="366">
        <f>'5.2 YR1'!H50</f>
        <v>39743.4</v>
      </c>
      <c r="F59" s="366">
        <f>'5.3 YR2'!H50</f>
        <v>52991.200000000004</v>
      </c>
      <c r="G59" s="341">
        <f>'5.4 YR3'!H50</f>
        <v>66239</v>
      </c>
      <c r="H59" s="330"/>
    </row>
    <row r="60" spans="3:8" ht="13.5" thickBot="1" x14ac:dyDescent="0.25">
      <c r="C60" s="348" t="s">
        <v>313</v>
      </c>
      <c r="D60" s="371">
        <f>SUM(D54:D59)</f>
        <v>142763.54</v>
      </c>
      <c r="E60" s="371">
        <f>SUM(E54:E59)</f>
        <v>57173.100000000006</v>
      </c>
      <c r="F60" s="371">
        <f>SUM(F54:F59)</f>
        <v>76230.8</v>
      </c>
      <c r="G60" s="352">
        <f>SUM(G54:G59)</f>
        <v>95288.5</v>
      </c>
      <c r="H60" s="330"/>
    </row>
    <row r="61" spans="3:8" x14ac:dyDescent="0.2">
      <c r="C61" s="345"/>
      <c r="D61" s="366"/>
      <c r="E61" s="366"/>
      <c r="F61" s="366"/>
      <c r="G61" s="341"/>
      <c r="H61" s="330"/>
    </row>
    <row r="62" spans="3:8" outlineLevel="1" x14ac:dyDescent="0.2">
      <c r="C62" s="345" t="s">
        <v>235</v>
      </c>
      <c r="D62" s="366"/>
      <c r="E62" s="366"/>
      <c r="F62" s="366"/>
      <c r="G62" s="341"/>
      <c r="H62" s="330"/>
    </row>
    <row r="63" spans="3:8" outlineLevel="1" x14ac:dyDescent="0.2">
      <c r="C63" s="351" t="s">
        <v>242</v>
      </c>
      <c r="D63" s="366">
        <f>'5.1 Base YR'!H54</f>
        <v>33650.000000000007</v>
      </c>
      <c r="E63" s="366">
        <f>'5.2 YR1'!H54</f>
        <v>20190.000000000004</v>
      </c>
      <c r="F63" s="366">
        <f>'5.3 YR2'!H54</f>
        <v>26920.000000000004</v>
      </c>
      <c r="G63" s="341">
        <f>'5.4 YR3'!H54</f>
        <v>33650.000000000007</v>
      </c>
      <c r="H63" s="330"/>
    </row>
    <row r="64" spans="3:8" outlineLevel="1" x14ac:dyDescent="0.2">
      <c r="C64" s="351" t="s">
        <v>243</v>
      </c>
      <c r="D64" s="366">
        <f>'5.1 Base YR'!H55</f>
        <v>33650.000000000007</v>
      </c>
      <c r="E64" s="366">
        <f>'5.2 YR1'!H55</f>
        <v>20190.000000000004</v>
      </c>
      <c r="F64" s="366">
        <f>'5.3 YR2'!H55</f>
        <v>26920.000000000004</v>
      </c>
      <c r="G64" s="341">
        <f>'5.4 YR3'!H55</f>
        <v>33650.000000000007</v>
      </c>
      <c r="H64" s="330"/>
    </row>
    <row r="65" spans="3:8" outlineLevel="1" x14ac:dyDescent="0.2">
      <c r="C65" s="351" t="s">
        <v>164</v>
      </c>
      <c r="D65" s="366">
        <f>'5.1 Base YR'!H56</f>
        <v>28703.500000000004</v>
      </c>
      <c r="E65" s="366">
        <f>'5.2 YR1'!H56</f>
        <v>17222.100000000002</v>
      </c>
      <c r="F65" s="366">
        <f>'5.3 YR2'!H56</f>
        <v>22962.800000000003</v>
      </c>
      <c r="G65" s="341">
        <f>'5.4 YR3'!H56</f>
        <v>28703.500000000004</v>
      </c>
      <c r="H65" s="330"/>
    </row>
    <row r="66" spans="3:8" ht="13.5" thickBot="1" x14ac:dyDescent="0.25">
      <c r="C66" s="348" t="s">
        <v>312</v>
      </c>
      <c r="D66" s="367">
        <f>SUM(D63:D65)</f>
        <v>96003.500000000015</v>
      </c>
      <c r="E66" s="367">
        <f>SUM(E63:E65)</f>
        <v>57602.100000000006</v>
      </c>
      <c r="F66" s="367">
        <f>SUM(F63:F65)</f>
        <v>76802.800000000017</v>
      </c>
      <c r="G66" s="343">
        <f>SUM(G63:G65)</f>
        <v>96003.500000000015</v>
      </c>
      <c r="H66" s="330"/>
    </row>
    <row r="67" spans="3:8" x14ac:dyDescent="0.2">
      <c r="C67" s="345"/>
      <c r="D67" s="370"/>
      <c r="E67" s="370"/>
      <c r="F67" s="370"/>
      <c r="G67" s="349"/>
      <c r="H67" s="330"/>
    </row>
    <row r="68" spans="3:8" outlineLevel="1" x14ac:dyDescent="0.2">
      <c r="C68" s="345" t="s">
        <v>178</v>
      </c>
      <c r="D68" s="366"/>
      <c r="E68" s="366"/>
      <c r="F68" s="366"/>
      <c r="G68" s="341"/>
      <c r="H68" s="330"/>
    </row>
    <row r="69" spans="3:8" outlineLevel="1" x14ac:dyDescent="0.2">
      <c r="C69" s="351" t="s">
        <v>165</v>
      </c>
      <c r="D69" s="366">
        <f>'5.1 Base YR'!H60</f>
        <v>26549.88</v>
      </c>
      <c r="E69" s="366">
        <f>'5.2 YR1'!H60</f>
        <v>34135.56</v>
      </c>
      <c r="F69" s="366">
        <f>'5.3 YR2'!H60</f>
        <v>45514.080000000002</v>
      </c>
      <c r="G69" s="341">
        <f>'5.4 YR3'!H60</f>
        <v>56892.600000000006</v>
      </c>
      <c r="H69" s="330"/>
    </row>
    <row r="70" spans="3:8" outlineLevel="1" x14ac:dyDescent="0.2">
      <c r="C70" s="351" t="s">
        <v>244</v>
      </c>
      <c r="D70" s="366">
        <f>'5.1 Base YR'!H61</f>
        <v>26549.88</v>
      </c>
      <c r="E70" s="366">
        <f>'5.2 YR1'!H61</f>
        <v>34135.56</v>
      </c>
      <c r="F70" s="366">
        <f>'5.3 YR2'!H61</f>
        <v>45514.080000000002</v>
      </c>
      <c r="G70" s="341">
        <f>'5.4 YR3'!H61</f>
        <v>56892.600000000006</v>
      </c>
      <c r="H70" s="330"/>
    </row>
    <row r="71" spans="3:8" outlineLevel="1" x14ac:dyDescent="0.2">
      <c r="C71" s="351" t="s">
        <v>166</v>
      </c>
      <c r="D71" s="366">
        <f>'5.1 Base YR'!H62</f>
        <v>26549.88</v>
      </c>
      <c r="E71" s="366">
        <f>'5.2 YR1'!H62</f>
        <v>34135.56</v>
      </c>
      <c r="F71" s="366">
        <f>'5.3 YR2'!H62</f>
        <v>45514.080000000002</v>
      </c>
      <c r="G71" s="341">
        <f>'5.4 YR3'!H62</f>
        <v>56892.600000000006</v>
      </c>
      <c r="H71" s="330"/>
    </row>
    <row r="72" spans="3:8" outlineLevel="1" x14ac:dyDescent="0.2">
      <c r="C72" s="351" t="s">
        <v>167</v>
      </c>
      <c r="D72" s="366">
        <f>'5.1 Base YR'!H63</f>
        <v>22757.040000000001</v>
      </c>
      <c r="E72" s="366">
        <f>'5.2 YR1'!H63</f>
        <v>22757.040000000001</v>
      </c>
      <c r="F72" s="366">
        <f>'5.3 YR2'!H63</f>
        <v>30342.720000000001</v>
      </c>
      <c r="G72" s="341">
        <f>'5.4 YR3'!H63</f>
        <v>37928.400000000001</v>
      </c>
      <c r="H72" s="330"/>
    </row>
    <row r="73" spans="3:8" outlineLevel="1" x14ac:dyDescent="0.2">
      <c r="C73" s="351" t="s">
        <v>245</v>
      </c>
      <c r="D73" s="366">
        <f>'5.1 Base YR'!H64</f>
        <v>22757.040000000001</v>
      </c>
      <c r="E73" s="366">
        <f>'5.2 YR1'!H64</f>
        <v>22757.040000000001</v>
      </c>
      <c r="F73" s="366">
        <f>'5.3 YR2'!H64</f>
        <v>30342.720000000001</v>
      </c>
      <c r="G73" s="341">
        <f>'5.4 YR3'!H64</f>
        <v>37928.400000000001</v>
      </c>
      <c r="H73" s="330"/>
    </row>
    <row r="74" spans="3:8" outlineLevel="1" x14ac:dyDescent="0.2">
      <c r="C74" s="351" t="s">
        <v>246</v>
      </c>
      <c r="D74" s="366">
        <f>'5.1 Base YR'!H65</f>
        <v>28757.040000000001</v>
      </c>
      <c r="E74" s="366">
        <f>'5.2 YR1'!H65</f>
        <v>28757.040000000001</v>
      </c>
      <c r="F74" s="366">
        <f>'5.3 YR2'!H65</f>
        <v>38342.720000000001</v>
      </c>
      <c r="G74" s="341">
        <f>'5.4 YR3'!H65</f>
        <v>47928.4</v>
      </c>
      <c r="H74" s="330"/>
    </row>
    <row r="75" spans="3:8" ht="13.5" thickBot="1" x14ac:dyDescent="0.25">
      <c r="C75" s="348" t="str">
        <f>C68&amp;" Total"</f>
        <v>Data Exchange Testing Total</v>
      </c>
      <c r="D75" s="367">
        <f>SUM(D69:D74)</f>
        <v>153920.76</v>
      </c>
      <c r="E75" s="367">
        <f>SUM(E69:E74)</f>
        <v>176677.80000000002</v>
      </c>
      <c r="F75" s="367">
        <f>SUM(F69:F74)</f>
        <v>235570.4</v>
      </c>
      <c r="G75" s="343">
        <f>SUM(G69:G74)</f>
        <v>294463</v>
      </c>
      <c r="H75" s="330"/>
    </row>
    <row r="76" spans="3:8" x14ac:dyDescent="0.2">
      <c r="C76" s="345"/>
      <c r="D76" s="370"/>
      <c r="E76" s="370"/>
      <c r="F76" s="370"/>
      <c r="G76" s="349"/>
      <c r="H76" s="330"/>
    </row>
    <row r="77" spans="3:8" outlineLevel="1" x14ac:dyDescent="0.2">
      <c r="C77" s="345" t="s">
        <v>179</v>
      </c>
      <c r="D77" s="366"/>
      <c r="E77" s="366"/>
      <c r="F77" s="366"/>
      <c r="G77" s="341"/>
      <c r="H77" s="330"/>
    </row>
    <row r="78" spans="3:8" outlineLevel="1" x14ac:dyDescent="0.2">
      <c r="C78" s="351" t="s">
        <v>168</v>
      </c>
      <c r="D78" s="366">
        <f>'5.1 Base YR'!H69</f>
        <v>8522.4</v>
      </c>
      <c r="E78" s="366">
        <f>'5.2 YR1'!H69</f>
        <v>0</v>
      </c>
      <c r="F78" s="366">
        <f>'5.3 YR2'!H69</f>
        <v>0</v>
      </c>
      <c r="G78" s="341">
        <f>'5.4 YR3'!H69</f>
        <v>0</v>
      </c>
      <c r="H78" s="330"/>
    </row>
    <row r="79" spans="3:8" outlineLevel="1" x14ac:dyDescent="0.2">
      <c r="C79" s="351" t="s">
        <v>169</v>
      </c>
      <c r="D79" s="366">
        <f>'5.1 Base YR'!H70</f>
        <v>8522.4</v>
      </c>
      <c r="E79" s="366">
        <f>'5.2 YR1'!H70</f>
        <v>0</v>
      </c>
      <c r="F79" s="366">
        <f>'5.3 YR2'!H70</f>
        <v>0</v>
      </c>
      <c r="G79" s="341">
        <f>'5.4 YR3'!H70</f>
        <v>0</v>
      </c>
      <c r="H79" s="330"/>
    </row>
    <row r="80" spans="3:8" outlineLevel="1" x14ac:dyDescent="0.2">
      <c r="C80" s="351" t="s">
        <v>170</v>
      </c>
      <c r="D80" s="366">
        <f>'5.1 Base YR'!H71</f>
        <v>8522.4</v>
      </c>
      <c r="E80" s="366">
        <f>'5.2 YR1'!H71</f>
        <v>0</v>
      </c>
      <c r="F80" s="366">
        <f>'5.3 YR2'!H71</f>
        <v>0</v>
      </c>
      <c r="G80" s="341">
        <f>'5.4 YR3'!H71</f>
        <v>0</v>
      </c>
      <c r="H80" s="330"/>
    </row>
    <row r="81" spans="3:8" ht="13.5" thickBot="1" x14ac:dyDescent="0.25">
      <c r="C81" s="348" t="str">
        <f>C77&amp;" Total"</f>
        <v>Data Exchange Deployment Total</v>
      </c>
      <c r="D81" s="367">
        <f>SUM(D78:D80)</f>
        <v>25567.199999999997</v>
      </c>
      <c r="E81" s="367">
        <f>SUM(E78:E80)</f>
        <v>0</v>
      </c>
      <c r="F81" s="367">
        <f>SUM(F78:F80)</f>
        <v>0</v>
      </c>
      <c r="G81" s="343">
        <f>SUM(G78:G80)</f>
        <v>0</v>
      </c>
      <c r="H81" s="330"/>
    </row>
    <row r="82" spans="3:8" x14ac:dyDescent="0.2">
      <c r="C82" s="345"/>
      <c r="D82" s="370"/>
      <c r="E82" s="370"/>
      <c r="F82" s="370"/>
      <c r="G82" s="349"/>
      <c r="H82" s="330"/>
    </row>
    <row r="83" spans="3:8" outlineLevel="1" x14ac:dyDescent="0.2">
      <c r="C83" s="345" t="s">
        <v>198</v>
      </c>
      <c r="D83" s="366"/>
      <c r="E83" s="366"/>
      <c r="F83" s="366"/>
      <c r="G83" s="341"/>
      <c r="H83" s="330"/>
    </row>
    <row r="84" spans="3:8" outlineLevel="1" x14ac:dyDescent="0.2">
      <c r="C84" s="347" t="s">
        <v>221</v>
      </c>
      <c r="D84" s="366">
        <f>'5.1 Base YR'!H78</f>
        <v>0</v>
      </c>
      <c r="E84" s="366">
        <f>'5.2 YR1'!H78</f>
        <v>0</v>
      </c>
      <c r="F84" s="366">
        <f>'5.3 YR2'!H78</f>
        <v>0</v>
      </c>
      <c r="G84" s="341">
        <f>'5.4 YR3'!H78</f>
        <v>0</v>
      </c>
      <c r="H84" s="330"/>
    </row>
    <row r="85" spans="3:8" outlineLevel="1" x14ac:dyDescent="0.2">
      <c r="C85" s="347" t="s">
        <v>222</v>
      </c>
      <c r="D85" s="366">
        <f>'5.1 Base YR'!H79</f>
        <v>0</v>
      </c>
      <c r="E85" s="366">
        <f>'5.2 YR1'!H79</f>
        <v>0</v>
      </c>
      <c r="F85" s="366">
        <f>'5.3 YR2'!H79</f>
        <v>0</v>
      </c>
      <c r="G85" s="341">
        <f>'5.4 YR3'!H79</f>
        <v>0</v>
      </c>
      <c r="H85" s="330"/>
    </row>
    <row r="86" spans="3:8" outlineLevel="1" x14ac:dyDescent="0.2">
      <c r="C86" s="347" t="s">
        <v>52</v>
      </c>
      <c r="D86" s="366">
        <f>'5.1 Base YR'!H80</f>
        <v>6700</v>
      </c>
      <c r="E86" s="366">
        <f>'5.2 YR1'!H80</f>
        <v>5000</v>
      </c>
      <c r="F86" s="366">
        <f>'5.3 YR2'!H80</f>
        <v>5000</v>
      </c>
      <c r="G86" s="341">
        <f>'5.4 YR3'!H80</f>
        <v>5000</v>
      </c>
      <c r="H86" s="330"/>
    </row>
    <row r="87" spans="3:8" ht="13.5" thickBot="1" x14ac:dyDescent="0.25">
      <c r="C87" s="348" t="str">
        <f>C83&amp;" Total"</f>
        <v>Additional Costs Total</v>
      </c>
      <c r="D87" s="367">
        <f>SUM(D84:D86)</f>
        <v>6700</v>
      </c>
      <c r="E87" s="367">
        <f>SUM(E84:E86)</f>
        <v>5000</v>
      </c>
      <c r="F87" s="367">
        <f>SUM(F84:F86)</f>
        <v>5000</v>
      </c>
      <c r="G87" s="343">
        <f>SUM(G84:G86)</f>
        <v>5000</v>
      </c>
      <c r="H87" s="330"/>
    </row>
    <row r="88" spans="3:8" x14ac:dyDescent="0.2">
      <c r="C88" s="345"/>
      <c r="D88" s="370"/>
      <c r="E88" s="370"/>
      <c r="F88" s="370"/>
      <c r="G88" s="349"/>
      <c r="H88" s="330"/>
    </row>
    <row r="89" spans="3:8" outlineLevel="1" x14ac:dyDescent="0.2">
      <c r="C89" s="345" t="s">
        <v>53</v>
      </c>
      <c r="D89" s="366"/>
      <c r="E89" s="366"/>
      <c r="F89" s="366"/>
      <c r="G89" s="341"/>
      <c r="H89" s="330"/>
    </row>
    <row r="90" spans="3:8" outlineLevel="1" x14ac:dyDescent="0.2">
      <c r="C90" s="347" t="s">
        <v>54</v>
      </c>
      <c r="D90" s="366">
        <f>'5.1 Base YR'!H85</f>
        <v>0</v>
      </c>
      <c r="E90" s="366">
        <f>'5.2 YR1'!H85</f>
        <v>0</v>
      </c>
      <c r="F90" s="366">
        <f>'5.3 YR2'!H85</f>
        <v>0</v>
      </c>
      <c r="G90" s="341">
        <f>'5.4 YR3'!H85</f>
        <v>0</v>
      </c>
      <c r="H90" s="330"/>
    </row>
    <row r="91" spans="3:8" outlineLevel="1" x14ac:dyDescent="0.2">
      <c r="C91" s="347" t="s">
        <v>247</v>
      </c>
      <c r="D91" s="366">
        <f>'5.1 Base YR'!H87</f>
        <v>0</v>
      </c>
      <c r="E91" s="366">
        <f>'5.2 YR1'!H86</f>
        <v>-2235.2600000000002</v>
      </c>
      <c r="F91" s="366">
        <f>'5.3 YR2'!H86</f>
        <v>-2235.2600000000002</v>
      </c>
      <c r="G91" s="341">
        <f>'5.4 YR3'!H86</f>
        <v>-2235.2600000000002</v>
      </c>
      <c r="H91" s="330"/>
    </row>
    <row r="92" spans="3:8" outlineLevel="1" x14ac:dyDescent="0.2">
      <c r="C92" s="353" t="s">
        <v>265</v>
      </c>
      <c r="D92" s="366">
        <f>'5.1 Base YR'!H88</f>
        <v>-11176.300000000001</v>
      </c>
      <c r="E92" s="366">
        <f>'5.2 YR1'!H87</f>
        <v>0</v>
      </c>
      <c r="F92" s="366">
        <f>'5.3 YR2'!H87</f>
        <v>0</v>
      </c>
      <c r="G92" s="341">
        <f>'5.4 YR3'!H87</f>
        <v>0</v>
      </c>
      <c r="H92" s="330"/>
    </row>
    <row r="93" spans="3:8" ht="13.5" thickBot="1" x14ac:dyDescent="0.25">
      <c r="C93" s="348" t="str">
        <f>C89&amp;" Total"</f>
        <v>Discount Factors  Total</v>
      </c>
      <c r="D93" s="367">
        <f>SUM(D90:D92)</f>
        <v>-11176.300000000001</v>
      </c>
      <c r="E93" s="367">
        <f t="shared" ref="E93:G93" si="2">SUM(E90:E92)</f>
        <v>-2235.2600000000002</v>
      </c>
      <c r="F93" s="367">
        <f t="shared" si="2"/>
        <v>-2235.2600000000002</v>
      </c>
      <c r="G93" s="343">
        <f t="shared" si="2"/>
        <v>-2235.2600000000002</v>
      </c>
      <c r="H93" s="330"/>
    </row>
    <row r="94" spans="3:8" x14ac:dyDescent="0.2">
      <c r="C94" s="345"/>
      <c r="D94" s="370"/>
      <c r="E94" s="370"/>
      <c r="F94" s="370"/>
      <c r="G94" s="349"/>
      <c r="H94" s="330"/>
    </row>
    <row r="95" spans="3:8" ht="13.5" thickBot="1" x14ac:dyDescent="0.25">
      <c r="C95" s="354" t="s">
        <v>314</v>
      </c>
      <c r="D95" s="367">
        <f>SUM(D23,D28,D33,D42,D47,D51,D60,D66,D75,D81,D87,D93)</f>
        <v>851425.32</v>
      </c>
      <c r="E95" s="367">
        <f>SUM(E23,E28,E33,E42,E47,E51,E60,E66,E75,E81,E87,E93)</f>
        <v>516141.3600000001</v>
      </c>
      <c r="F95" s="367">
        <f>SUM(F23,F28,F33,F42,F47,F51,F60,F66,F75,F81,F87,F93)</f>
        <v>687266.9</v>
      </c>
      <c r="G95" s="343">
        <f>SUM(G23,G28,G33,G42,G47,G51,G60,G66,G75,G81,G87,G93)</f>
        <v>858392.44000000006</v>
      </c>
      <c r="H95" s="330"/>
    </row>
    <row r="96" spans="3:8" x14ac:dyDescent="0.2">
      <c r="C96" s="329"/>
      <c r="D96" s="370"/>
      <c r="E96" s="370"/>
      <c r="F96" s="370"/>
      <c r="G96" s="349"/>
      <c r="H96" s="330"/>
    </row>
    <row r="97" spans="3:8" x14ac:dyDescent="0.2">
      <c r="C97" s="326" t="s">
        <v>315</v>
      </c>
      <c r="D97" s="372">
        <f>D15-D95</f>
        <v>-851425.32</v>
      </c>
      <c r="E97" s="372">
        <f t="shared" ref="E97:G97" si="3">E15-E95</f>
        <v>-1367566.6800000002</v>
      </c>
      <c r="F97" s="372">
        <f t="shared" si="3"/>
        <v>-2054833.58</v>
      </c>
      <c r="G97" s="355">
        <f t="shared" si="3"/>
        <v>-2913226.02</v>
      </c>
      <c r="H97" s="330"/>
    </row>
    <row r="98" spans="3:8" x14ac:dyDescent="0.2">
      <c r="C98" s="329"/>
      <c r="D98" s="370"/>
      <c r="E98" s="370"/>
      <c r="F98" s="370"/>
      <c r="G98" s="349"/>
      <c r="H98" s="330"/>
    </row>
    <row r="99" spans="3:8" x14ac:dyDescent="0.2">
      <c r="C99" s="326" t="s">
        <v>317</v>
      </c>
      <c r="D99" s="372"/>
      <c r="E99" s="372"/>
      <c r="F99" s="372"/>
      <c r="G99" s="355"/>
      <c r="H99" s="330"/>
    </row>
    <row r="100" spans="3:8" x14ac:dyDescent="0.2">
      <c r="C100" s="340" t="s">
        <v>272</v>
      </c>
      <c r="D100" s="370">
        <v>0</v>
      </c>
      <c r="E100" s="370">
        <f>IFERROR((E102*E10),0)</f>
        <v>760996.61999999988</v>
      </c>
      <c r="F100" s="370">
        <f t="shared" ref="F100:G100" si="4">F102*F10</f>
        <v>1015583.7399999999</v>
      </c>
      <c r="G100" s="349">
        <f t="shared" si="4"/>
        <v>1270170.8599999999</v>
      </c>
      <c r="H100" s="330"/>
    </row>
    <row r="101" spans="3:8" x14ac:dyDescent="0.2">
      <c r="C101" s="340" t="s">
        <v>273</v>
      </c>
      <c r="D101" s="370">
        <f>IFERROR((D95/D10),0)</f>
        <v>425712.66</v>
      </c>
      <c r="E101" s="370">
        <f>IFERROR((E95/E10),0)</f>
        <v>172047.12000000002</v>
      </c>
      <c r="F101" s="370">
        <f t="shared" ref="F101:G101" si="5">IFERROR((F95/F10),0)</f>
        <v>171816.72500000001</v>
      </c>
      <c r="G101" s="349">
        <f t="shared" si="5"/>
        <v>171678.48800000001</v>
      </c>
      <c r="H101" s="330"/>
    </row>
    <row r="102" spans="3:8" x14ac:dyDescent="0.2">
      <c r="C102" s="340" t="s">
        <v>271</v>
      </c>
      <c r="D102" s="370">
        <v>0</v>
      </c>
      <c r="E102" s="370">
        <f>IF(E101=0,0,$D$101-E101)</f>
        <v>253665.53999999995</v>
      </c>
      <c r="F102" s="370">
        <f>IF(F101=0,0,$D$101-F101)</f>
        <v>253895.93499999997</v>
      </c>
      <c r="G102" s="349">
        <f t="shared" ref="G102" si="6">IF(G101=0,0,$D$101-G101)</f>
        <v>254034.17199999996</v>
      </c>
      <c r="H102" s="330"/>
    </row>
    <row r="103" spans="3:8" s="330" customFormat="1" hidden="1" outlineLevel="1" x14ac:dyDescent="0.2">
      <c r="C103" s="335"/>
      <c r="G103" s="356"/>
    </row>
    <row r="104" spans="3:8" hidden="1" outlineLevel="1" x14ac:dyDescent="0.2">
      <c r="C104" s="448" t="s">
        <v>50</v>
      </c>
      <c r="D104" s="449"/>
      <c r="E104" s="449"/>
      <c r="F104" s="449"/>
      <c r="G104" s="450"/>
      <c r="H104" s="330"/>
    </row>
    <row r="105" spans="3:8" hidden="1" outlineLevel="1" x14ac:dyDescent="0.2">
      <c r="C105" s="331" t="s">
        <v>38</v>
      </c>
      <c r="D105" s="330" t="s">
        <v>15</v>
      </c>
      <c r="E105" s="330" t="s">
        <v>16</v>
      </c>
      <c r="F105" s="330" t="s">
        <v>39</v>
      </c>
      <c r="G105" s="356" t="s">
        <v>40</v>
      </c>
      <c r="H105" s="330"/>
    </row>
    <row r="106" spans="3:8" hidden="1" outlineLevel="1" x14ac:dyDescent="0.2">
      <c r="C106" s="357" t="s">
        <v>41</v>
      </c>
      <c r="D106" s="332">
        <f>SUM(D107:D108)</f>
        <v>650</v>
      </c>
      <c r="E106" s="332">
        <f>SUM(E107:E108)</f>
        <v>780</v>
      </c>
      <c r="F106" s="332">
        <f>SUM(F107:F108)</f>
        <v>1092</v>
      </c>
      <c r="G106" s="346">
        <f>SUM(G107:G108)</f>
        <v>1747.2</v>
      </c>
      <c r="H106" s="330"/>
    </row>
    <row r="107" spans="3:8" hidden="1" outlineLevel="1" x14ac:dyDescent="0.2">
      <c r="C107" s="335" t="s">
        <v>127</v>
      </c>
      <c r="D107" s="332">
        <v>250</v>
      </c>
      <c r="E107" s="332">
        <f>D107*1.2</f>
        <v>300</v>
      </c>
      <c r="F107" s="332">
        <f>E107*1.4</f>
        <v>420</v>
      </c>
      <c r="G107" s="346">
        <f>F107*1.6</f>
        <v>672</v>
      </c>
      <c r="H107" s="330"/>
    </row>
    <row r="108" spans="3:8" hidden="1" outlineLevel="1" x14ac:dyDescent="0.2">
      <c r="C108" s="335" t="s">
        <v>128</v>
      </c>
      <c r="D108" s="332">
        <v>400</v>
      </c>
      <c r="E108" s="332">
        <f>D108*1.2</f>
        <v>480</v>
      </c>
      <c r="F108" s="332">
        <f>E108*1.4</f>
        <v>672</v>
      </c>
      <c r="G108" s="346">
        <f>F108*1.6</f>
        <v>1075.2</v>
      </c>
      <c r="H108" s="330"/>
    </row>
    <row r="109" spans="3:8" hidden="1" outlineLevel="1" x14ac:dyDescent="0.2">
      <c r="C109" s="357" t="s">
        <v>42</v>
      </c>
      <c r="D109" s="332">
        <f>SUM(D110:D111)</f>
        <v>550</v>
      </c>
      <c r="E109" s="332">
        <f>SUM(E110:E111)</f>
        <v>660</v>
      </c>
      <c r="F109" s="332">
        <f>SUM(F110:F111)</f>
        <v>924</v>
      </c>
      <c r="G109" s="346">
        <f>SUM(G110:G111)</f>
        <v>1478.4</v>
      </c>
      <c r="H109" s="330"/>
    </row>
    <row r="110" spans="3:8" hidden="1" outlineLevel="1" x14ac:dyDescent="0.2">
      <c r="C110" s="335" t="s">
        <v>129</v>
      </c>
      <c r="D110" s="332">
        <v>100</v>
      </c>
      <c r="E110" s="332">
        <f>D110*1.2</f>
        <v>120</v>
      </c>
      <c r="F110" s="332">
        <f>E110*1.4</f>
        <v>168</v>
      </c>
      <c r="G110" s="346">
        <f>F110*1.6</f>
        <v>268.8</v>
      </c>
      <c r="H110" s="330"/>
    </row>
    <row r="111" spans="3:8" hidden="1" outlineLevel="1" x14ac:dyDescent="0.2">
      <c r="C111" s="335" t="s">
        <v>130</v>
      </c>
      <c r="D111" s="332">
        <v>450</v>
      </c>
      <c r="E111" s="332">
        <f>D111*1.2</f>
        <v>540</v>
      </c>
      <c r="F111" s="332">
        <f>E111*1.4</f>
        <v>756</v>
      </c>
      <c r="G111" s="346">
        <f>F111*1.6</f>
        <v>1209.6000000000001</v>
      </c>
      <c r="H111" s="330"/>
    </row>
    <row r="112" spans="3:8" hidden="1" outlineLevel="1" x14ac:dyDescent="0.2">
      <c r="C112" s="357" t="s">
        <v>43</v>
      </c>
      <c r="D112" s="332">
        <f>SUM(D113:D114)</f>
        <v>2000</v>
      </c>
      <c r="E112" s="332">
        <f>SUM(E113:E114)</f>
        <v>2400</v>
      </c>
      <c r="F112" s="332">
        <f>SUM(F113:F114)</f>
        <v>3360</v>
      </c>
      <c r="G112" s="346">
        <f>SUM(G113:G114)</f>
        <v>5376</v>
      </c>
      <c r="H112" s="330"/>
    </row>
    <row r="113" spans="3:8" hidden="1" outlineLevel="1" x14ac:dyDescent="0.2">
      <c r="C113" s="335" t="s">
        <v>131</v>
      </c>
      <c r="D113" s="332">
        <v>1000</v>
      </c>
      <c r="E113" s="332">
        <f>D113*1.2</f>
        <v>1200</v>
      </c>
      <c r="F113" s="332">
        <f>E113*1.4</f>
        <v>1680</v>
      </c>
      <c r="G113" s="346">
        <f>F113*1.6</f>
        <v>2688</v>
      </c>
      <c r="H113" s="330"/>
    </row>
    <row r="114" spans="3:8" hidden="1" outlineLevel="1" x14ac:dyDescent="0.2">
      <c r="C114" s="335" t="s">
        <v>132</v>
      </c>
      <c r="D114" s="332">
        <v>1000</v>
      </c>
      <c r="E114" s="332">
        <f>D114*1.2</f>
        <v>1200</v>
      </c>
      <c r="F114" s="332">
        <f>E114*1.4</f>
        <v>1680</v>
      </c>
      <c r="G114" s="346">
        <f>F114*1.6</f>
        <v>2688</v>
      </c>
      <c r="H114" s="330"/>
    </row>
    <row r="115" spans="3:8" hidden="1" outlineLevel="1" x14ac:dyDescent="0.2">
      <c r="C115" s="357" t="s">
        <v>248</v>
      </c>
      <c r="D115" s="332">
        <f>SUM(D116:D117)</f>
        <v>3500</v>
      </c>
      <c r="E115" s="332">
        <f>SUM(E116:E117)</f>
        <v>4200</v>
      </c>
      <c r="F115" s="332">
        <f>SUM(F116:F117)</f>
        <v>5880</v>
      </c>
      <c r="G115" s="346">
        <f>SUM(G116:G117)</f>
        <v>9408</v>
      </c>
      <c r="H115" s="330"/>
    </row>
    <row r="116" spans="3:8" hidden="1" outlineLevel="1" x14ac:dyDescent="0.2">
      <c r="C116" s="335" t="s">
        <v>133</v>
      </c>
      <c r="D116" s="332">
        <v>2000</v>
      </c>
      <c r="E116" s="332">
        <f>D116*1.2</f>
        <v>2400</v>
      </c>
      <c r="F116" s="332">
        <f>E116*1.4</f>
        <v>3360</v>
      </c>
      <c r="G116" s="346">
        <f>F116*1.6</f>
        <v>5376</v>
      </c>
      <c r="H116" s="330"/>
    </row>
    <row r="117" spans="3:8" hidden="1" outlineLevel="1" x14ac:dyDescent="0.2">
      <c r="C117" s="335" t="s">
        <v>134</v>
      </c>
      <c r="D117" s="332">
        <v>1500</v>
      </c>
      <c r="E117" s="332">
        <f>D117*1.2</f>
        <v>1800</v>
      </c>
      <c r="F117" s="332">
        <f>E117*1.4</f>
        <v>2520</v>
      </c>
      <c r="G117" s="346">
        <f>F117*1.6</f>
        <v>4032</v>
      </c>
      <c r="H117" s="330"/>
    </row>
    <row r="118" spans="3:8" hidden="1" outlineLevel="1" x14ac:dyDescent="0.2">
      <c r="C118" s="357" t="s">
        <v>44</v>
      </c>
      <c r="D118" s="332">
        <f>SUM(D119:D120)</f>
        <v>5000</v>
      </c>
      <c r="E118" s="332">
        <f>SUM(E119:E120)</f>
        <v>6000</v>
      </c>
      <c r="F118" s="332">
        <f>SUM(F119:F120)</f>
        <v>8400</v>
      </c>
      <c r="G118" s="346">
        <f>SUM(G119:G120)</f>
        <v>13440</v>
      </c>
      <c r="H118" s="330"/>
    </row>
    <row r="119" spans="3:8" hidden="1" outlineLevel="1" x14ac:dyDescent="0.2">
      <c r="C119" s="335" t="s">
        <v>135</v>
      </c>
      <c r="D119" s="332">
        <v>3000</v>
      </c>
      <c r="E119" s="332">
        <f>D119*1.2</f>
        <v>3600</v>
      </c>
      <c r="F119" s="332">
        <f>E119*1.4</f>
        <v>5040</v>
      </c>
      <c r="G119" s="346">
        <f>F119*1.6</f>
        <v>8064</v>
      </c>
      <c r="H119" s="330"/>
    </row>
    <row r="120" spans="3:8" hidden="1" outlineLevel="1" x14ac:dyDescent="0.2">
      <c r="C120" s="335" t="s">
        <v>136</v>
      </c>
      <c r="D120" s="332">
        <v>2000</v>
      </c>
      <c r="E120" s="332">
        <f>D120*1.2</f>
        <v>2400</v>
      </c>
      <c r="F120" s="332">
        <f>E120*1.4</f>
        <v>3360</v>
      </c>
      <c r="G120" s="346">
        <f>F120*1.6</f>
        <v>5376</v>
      </c>
      <c r="H120" s="330"/>
    </row>
    <row r="121" spans="3:8" hidden="1" outlineLevel="1" x14ac:dyDescent="0.2">
      <c r="C121" s="357" t="s">
        <v>59</v>
      </c>
      <c r="D121" s="332">
        <f>SUM(D122:D123)</f>
        <v>1450</v>
      </c>
      <c r="E121" s="332">
        <f>SUM(E122:E123)</f>
        <v>1740</v>
      </c>
      <c r="F121" s="332">
        <f>SUM(F122:F123)</f>
        <v>2436</v>
      </c>
      <c r="G121" s="346">
        <f>SUM(G122:G123)</f>
        <v>3897.6000000000004</v>
      </c>
      <c r="H121" s="330"/>
    </row>
    <row r="122" spans="3:8" hidden="1" outlineLevel="1" x14ac:dyDescent="0.2">
      <c r="C122" s="335" t="s">
        <v>137</v>
      </c>
      <c r="D122" s="332">
        <v>500</v>
      </c>
      <c r="E122" s="332">
        <f>D122*1.2</f>
        <v>600</v>
      </c>
      <c r="F122" s="332">
        <f>E122*1.4</f>
        <v>840</v>
      </c>
      <c r="G122" s="346">
        <f>F122*1.6</f>
        <v>1344</v>
      </c>
      <c r="H122" s="330"/>
    </row>
    <row r="123" spans="3:8" hidden="1" outlineLevel="1" x14ac:dyDescent="0.2">
      <c r="C123" s="335" t="s">
        <v>138</v>
      </c>
      <c r="D123" s="332">
        <v>950</v>
      </c>
      <c r="E123" s="332">
        <f>D123*1.2</f>
        <v>1140</v>
      </c>
      <c r="F123" s="332">
        <f>E123*1.4</f>
        <v>1596</v>
      </c>
      <c r="G123" s="346">
        <f>F123*1.6</f>
        <v>2553.6000000000004</v>
      </c>
      <c r="H123" s="330"/>
    </row>
    <row r="124" spans="3:8" hidden="1" outlineLevel="1" x14ac:dyDescent="0.2">
      <c r="C124" s="329" t="s">
        <v>55</v>
      </c>
      <c r="D124" s="332">
        <f>SUM(D106,D109,D112,D115,D118,D121)</f>
        <v>13150</v>
      </c>
      <c r="E124" s="332">
        <f>SUM(E106,E109,E112,E115,E118,E121)</f>
        <v>15780</v>
      </c>
      <c r="F124" s="332">
        <f>SUM(F106,F109,F112,F115,F118,F121)</f>
        <v>22092</v>
      </c>
      <c r="G124" s="346">
        <f>SUM(G106,G109,G112,G115,G118,G121)</f>
        <v>35347.199999999997</v>
      </c>
      <c r="H124" s="330"/>
    </row>
    <row r="125" spans="3:8" hidden="1" outlineLevel="1" x14ac:dyDescent="0.2">
      <c r="C125" s="448" t="s">
        <v>49</v>
      </c>
      <c r="D125" s="449"/>
      <c r="E125" s="449"/>
      <c r="F125" s="449"/>
      <c r="G125" s="450"/>
      <c r="H125" s="330"/>
    </row>
    <row r="126" spans="3:8" hidden="1" outlineLevel="1" x14ac:dyDescent="0.2">
      <c r="C126" s="335" t="s">
        <v>45</v>
      </c>
      <c r="D126" s="333">
        <f>(-D95+D124)/((1+0.01)^0)</f>
        <v>-838275.32</v>
      </c>
      <c r="E126" s="333">
        <f>(-E95+E124)/((1+0.01)^1)</f>
        <v>-495407.28712871298</v>
      </c>
      <c r="F126" s="333">
        <f>(-F95+F124)/((1+0.01)^2)</f>
        <v>-652068.32663464372</v>
      </c>
      <c r="G126" s="358">
        <f>(-G95+G124)/((1+0.01)^3)</f>
        <v>-798839.60124274378</v>
      </c>
    </row>
    <row r="127" spans="3:8" hidden="1" outlineLevel="1" x14ac:dyDescent="0.2">
      <c r="C127" s="335" t="s">
        <v>46</v>
      </c>
      <c r="D127" s="334">
        <f>(-D95+D124)+((-E95+E124)/(1-0.015)^1)+((-F95+F124)/(1-0.015)^2)+((-G95+G124)/(1-0.015)^3)</f>
        <v>-2893066.4905613316</v>
      </c>
      <c r="E127" s="334">
        <f>(-E95+E124)+((-F95+F124)/(1-0.015)^1)+((-G95+G124)/(1-0.015)^2)</f>
        <v>-2023969.3030029119</v>
      </c>
      <c r="F127" s="334">
        <f>(-F95+F124)+((-G95+G124)/(1-0.015)^1)</f>
        <v>-1500753.8238578681</v>
      </c>
      <c r="G127" s="359">
        <f>(-G95+G124)</f>
        <v>-823045.24000000011</v>
      </c>
    </row>
    <row r="128" spans="3:8" hidden="1" outlineLevel="1" x14ac:dyDescent="0.2">
      <c r="C128" s="335" t="s">
        <v>47</v>
      </c>
      <c r="E128" s="330"/>
      <c r="F128" s="330"/>
      <c r="G128" s="356"/>
    </row>
    <row r="129" spans="3:7" hidden="1" outlineLevel="1" x14ac:dyDescent="0.2">
      <c r="C129" s="335" t="s">
        <v>48</v>
      </c>
      <c r="E129" s="330"/>
      <c r="F129" s="330"/>
      <c r="G129" s="356"/>
    </row>
    <row r="130" spans="3:7" ht="13.5" collapsed="1" thickBot="1" x14ac:dyDescent="0.25">
      <c r="C130" s="360"/>
      <c r="D130" s="373"/>
      <c r="E130" s="373"/>
      <c r="F130" s="373"/>
      <c r="G130" s="361"/>
    </row>
  </sheetData>
  <mergeCells count="5">
    <mergeCell ref="A1:XFD1"/>
    <mergeCell ref="C125:G125"/>
    <mergeCell ref="C104:G104"/>
    <mergeCell ref="A5:B5"/>
    <mergeCell ref="C7:G7"/>
  </mergeCells>
  <conditionalFormatting sqref="D98:G99">
    <cfRule type="cellIs" dxfId="2" priority="6" operator="greaterThan">
      <formula>0</formula>
    </cfRule>
    <cfRule type="cellIs" dxfId="1" priority="7" operator="lessThan">
      <formula>0</formula>
    </cfRule>
  </conditionalFormatting>
  <conditionalFormatting sqref="D97:G97">
    <cfRule type="cellIs" dxfId="0" priority="1" operator="lessThan">
      <formula>0</formula>
    </cfRule>
  </conditionalFormatting>
  <hyperlinks>
    <hyperlink ref="A5" location="Overview!A1" display="Overview"/>
  </hyperlinks>
  <pageMargins left="0.75" right="0.75" top="1" bottom="1" header="0.5" footer="0.5"/>
  <pageSetup paperSize="5" scale="67"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FFCC00"/>
    <pageSetUpPr fitToPage="1"/>
  </sheetPr>
  <dimension ref="A1:H93"/>
  <sheetViews>
    <sheetView showGridLines="0" zoomScale="85" zoomScaleNormal="85" zoomScalePageLayoutView="85" workbookViewId="0">
      <pane ySplit="8" topLeftCell="A9" activePane="bottomLeft" state="frozen"/>
      <selection pane="bottomLeft" activeCell="A2" sqref="A2"/>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5" width="14.28515625" style="54" bestFit="1" customWidth="1"/>
    <col min="6" max="6" width="12.28515625" style="54" customWidth="1"/>
    <col min="7" max="7" width="14" style="54" customWidth="1"/>
    <col min="8" max="8" width="24.7109375" style="54" customWidth="1"/>
    <col min="9" max="16384" width="8.85546875" style="54"/>
  </cols>
  <sheetData>
    <row r="1" spans="1:8" s="395" customFormat="1" ht="51.75" customHeight="1" x14ac:dyDescent="0.5"/>
    <row r="2" spans="1:8" s="118" customFormat="1" ht="16.5" customHeight="1" x14ac:dyDescent="0.5">
      <c r="A2" s="121" t="s">
        <v>358</v>
      </c>
      <c r="B2" s="120"/>
    </row>
    <row r="3" spans="1:8" s="119" customFormat="1" ht="19.5" customHeight="1" x14ac:dyDescent="0.5">
      <c r="A3" s="122" t="s">
        <v>295</v>
      </c>
    </row>
    <row r="4" spans="1:8" s="196" customFormat="1" ht="9" customHeight="1" x14ac:dyDescent="0.35"/>
    <row r="5" spans="1:8" s="197" customFormat="1" ht="12.75" customHeight="1" x14ac:dyDescent="0.2">
      <c r="A5" s="411" t="s">
        <v>194</v>
      </c>
      <c r="B5" s="411"/>
      <c r="C5" s="411"/>
      <c r="D5" s="411"/>
    </row>
    <row r="6" spans="1:8" s="197" customFormat="1" ht="9" customHeight="1" thickBot="1" x14ac:dyDescent="0.25">
      <c r="A6" s="198"/>
      <c r="B6" s="198"/>
      <c r="C6" s="198"/>
      <c r="D6" s="198"/>
    </row>
    <row r="7" spans="1:8" ht="13.5" customHeight="1" x14ac:dyDescent="0.2">
      <c r="A7" s="454"/>
      <c r="B7" s="454"/>
      <c r="C7" s="454"/>
      <c r="D7" s="74"/>
      <c r="E7" s="455" t="s">
        <v>112</v>
      </c>
      <c r="F7" s="456"/>
      <c r="G7" s="456"/>
      <c r="H7" s="457"/>
    </row>
    <row r="8" spans="1:8" ht="39" thickBot="1" x14ac:dyDescent="0.25">
      <c r="E8" s="245" t="s">
        <v>113</v>
      </c>
      <c r="F8" s="247" t="s">
        <v>114</v>
      </c>
      <c r="G8" s="247" t="s">
        <v>115</v>
      </c>
      <c r="H8" s="293" t="str">
        <f>"Total Cost to build " &amp; NewIEPDs+1 &amp; " NIEM exchange and reuse " &amp; NewConsumers &amp; " NIEM exchanges"</f>
        <v>Total Cost to build 1 NIEM exchange and reuse 1 NIEM exchanges</v>
      </c>
    </row>
    <row r="9" spans="1:8" ht="12" customHeight="1" x14ac:dyDescent="0.2">
      <c r="B9" s="46" t="s">
        <v>301</v>
      </c>
      <c r="C9" s="47"/>
      <c r="D9" s="48"/>
      <c r="E9" s="248"/>
      <c r="F9" s="248"/>
      <c r="G9" s="248"/>
      <c r="H9" s="263"/>
    </row>
    <row r="10" spans="1:8" ht="12" customHeight="1" x14ac:dyDescent="0.2">
      <c r="B10" s="233">
        <v>1</v>
      </c>
      <c r="C10" s="234" t="s">
        <v>12</v>
      </c>
      <c r="D10" s="235"/>
      <c r="E10" s="254"/>
      <c r="F10" s="249"/>
      <c r="G10" s="260"/>
      <c r="H10" s="264"/>
    </row>
    <row r="11" spans="1:8" ht="12" customHeight="1" x14ac:dyDescent="0.2">
      <c r="B11" s="52"/>
      <c r="C11" s="53">
        <v>1.1000000000000001</v>
      </c>
      <c r="D11" s="54" t="s">
        <v>68</v>
      </c>
      <c r="E11" s="250">
        <f xml:space="preserve">
VALUE(VLOOKUP('4.0 Activities'!D11,'2.0 Exchange Variables'!$H$8:$K$12,MATCH(Complexity,ComplexityList,0)+1,FALSE))*LCat1+
VALUE(VLOOKUP('4.0 Activities'!E11,'2.0 Exchange Variables'!$H$8:$K$12,MATCH(Complexity,ComplexityList,0)+1,FALSE))*LCat2+
VALUE(VLOOKUP('4.0 Activities'!F11,'2.0 Exchange Variables'!$H$8:$K$12,MATCH(Complexity,ComplexityList,0)+1,FALSE))*LCat3+
VALUE(VLOOKUP('4.0 Activities'!G11,'2.0 Exchange Variables'!$H$8:$K$12,MATCH(Complexity,ComplexityList,0)+1,FALSE))*LCat4+
VALUE(VLOOKUP('4.0 Activities'!H11,'2.0 Exchange Variables'!$H$8:$K$12,MATCH(Complexity,ComplexityList,0)+1,FALSE))*LCat5+
VALUE(VLOOKUP('4.0 Activities'!I11,'2.0 Exchange Variables'!$H$8:$K$12,MATCH(Complexity,ComplexityList,0)+1,FALSE))*LCat6+
VALUE(VLOOKUP('4.0 Activities'!J11,'2.0 Exchange Variables'!$H$8:$K$12,MATCH(Complexity,ComplexityList,0)+1,FALSE))*LCat7+
VALUE(VLOOKUP('4.0 Activities'!K11,'2.0 Exchange Variables'!$H$8:$K$12,MATCH(Complexity,ComplexityList,0)+1,FALSE))*LCat8+
VALUE(VLOOKUP('4.0 Activities'!L11,'2.0 Exchange Variables'!$H$8:$K$12,MATCH(Complexity,ComplexityList,0)+1,FALSE))*LCat9+
VALUE(VLOOKUP('4.0 Activities'!M11,'2.0 Exchange Variables'!$H$8:$K$12,MATCH(Complexity,ComplexityList,0)+1,FALSE))*LCat10</f>
        <v>23414.800000000003</v>
      </c>
      <c r="F11" s="250">
        <f>VALUE(IF(NewConsumers&gt;0,E11*'4.0 Activities'!O11,))</f>
        <v>11707.400000000001</v>
      </c>
      <c r="G11" s="250">
        <f>VALUE(IF(NewIEPDs&gt;0,E11*'4.0 Activities'!P11,0))</f>
        <v>0</v>
      </c>
      <c r="H11" s="265">
        <f>E11+F11*NewConsumers+G11*NewIEPDs</f>
        <v>35122.200000000004</v>
      </c>
    </row>
    <row r="12" spans="1:8" ht="12" customHeight="1" x14ac:dyDescent="0.2">
      <c r="B12" s="52"/>
      <c r="C12" s="53">
        <v>1.2</v>
      </c>
      <c r="D12" s="54" t="s">
        <v>71</v>
      </c>
      <c r="E12" s="250">
        <f xml:space="preserve">
VALUE(VLOOKUP('4.0 Activities'!D12,'2.0 Exchange Variables'!$H$8:$K$12,MATCH(Complexity,ComplexityList,0)+1,FALSE))*LCat1+
VALUE(VLOOKUP('4.0 Activities'!E12,'2.0 Exchange Variables'!$H$8:$K$12,MATCH(Complexity,ComplexityList,0)+1,FALSE))*LCat2+
VALUE(VLOOKUP('4.0 Activities'!F12,'2.0 Exchange Variables'!$H$8:$K$12,MATCH(Complexity,ComplexityList,0)+1,FALSE))*LCat3+
VALUE(VLOOKUP('4.0 Activities'!G12,'2.0 Exchange Variables'!$H$8:$K$12,MATCH(Complexity,ComplexityList,0)+1,FALSE))*LCat4+
VALUE(VLOOKUP('4.0 Activities'!H12,'2.0 Exchange Variables'!$H$8:$K$12,MATCH(Complexity,ComplexityList,0)+1,FALSE))*LCat5+
VALUE(VLOOKUP('4.0 Activities'!I12,'2.0 Exchange Variables'!$H$8:$K$12,MATCH(Complexity,ComplexityList,0)+1,FALSE))*LCat6+
VALUE(VLOOKUP('4.0 Activities'!J12,'2.0 Exchange Variables'!$H$8:$K$12,MATCH(Complexity,ComplexityList,0)+1,FALSE))*LCat7+
VALUE(VLOOKUP('4.0 Activities'!K12,'2.0 Exchange Variables'!$H$8:$K$12,MATCH(Complexity,ComplexityList,0)+1,FALSE))*LCat8+
VALUE(VLOOKUP('4.0 Activities'!L12,'2.0 Exchange Variables'!$H$8:$K$12,MATCH(Complexity,ComplexityList,0)+1,FALSE))*LCat9+
VALUE(VLOOKUP('4.0 Activities'!M12,'2.0 Exchange Variables'!$H$8:$K$12,MATCH(Complexity,ComplexityList,0)+1,FALSE))*LCat10</f>
        <v>55053.600000000006</v>
      </c>
      <c r="F12" s="250">
        <f>VALUE(IF(NewConsumers&gt;0,E12*'4.0 Activities'!O12,))</f>
        <v>13763.400000000001</v>
      </c>
      <c r="G12" s="250">
        <f>VALUE(IF(NewIEPDs&gt;0,E12*'4.0 Activities'!P12,0))</f>
        <v>0</v>
      </c>
      <c r="H12" s="265">
        <f>E12+F12*NewConsumers+G12*NewIEPDs</f>
        <v>68817</v>
      </c>
    </row>
    <row r="13" spans="1:8" ht="12" customHeight="1" x14ac:dyDescent="0.2">
      <c r="B13" s="52"/>
      <c r="C13" s="55">
        <v>1.3</v>
      </c>
      <c r="D13" s="56" t="s">
        <v>73</v>
      </c>
      <c r="E13" s="251">
        <f xml:space="preserve">
VALUE(VLOOKUP('4.0 Activities'!D13,'2.0 Exchange Variables'!$H$8:$K$12,MATCH(Complexity,ComplexityList,0)+1,FALSE))*LCat1+
VALUE(VLOOKUP('4.0 Activities'!E13,'2.0 Exchange Variables'!$H$8:$K$12,MATCH(Complexity,ComplexityList,0)+1,FALSE))*LCat2+
VALUE(VLOOKUP('4.0 Activities'!F13,'2.0 Exchange Variables'!$H$8:$K$12,MATCH(Complexity,ComplexityList,0)+1,FALSE))*LCat3+
VALUE(VLOOKUP('4.0 Activities'!G13,'2.0 Exchange Variables'!$H$8:$K$12,MATCH(Complexity,ComplexityList,0)+1,FALSE))*LCat4+
VALUE(VLOOKUP('4.0 Activities'!H13,'2.0 Exchange Variables'!$H$8:$K$12,MATCH(Complexity,ComplexityList,0)+1,FALSE))*LCat5+
VALUE(VLOOKUP('4.0 Activities'!I13,'2.0 Exchange Variables'!$H$8:$K$12,MATCH(Complexity,ComplexityList,0)+1,FALSE))*LCat6+
VALUE(VLOOKUP('4.0 Activities'!J13,'2.0 Exchange Variables'!$H$8:$K$12,MATCH(Complexity,ComplexityList,0)+1,FALSE))*LCat7+
VALUE(VLOOKUP('4.0 Activities'!K13,'2.0 Exchange Variables'!$H$8:$K$12,MATCH(Complexity,ComplexityList,0)+1,FALSE))*LCat8+
VALUE(VLOOKUP('4.0 Activities'!L13,'2.0 Exchange Variables'!$H$8:$K$12,MATCH(Complexity,ComplexityList,0)+1,FALSE))*LCat9+
VALUE(VLOOKUP('4.0 Activities'!M13,'2.0 Exchange Variables'!$H$8:$K$12,MATCH(Complexity,ComplexityList,0)+1,FALSE))*LCat10</f>
        <v>27725.200000000001</v>
      </c>
      <c r="F13" s="251">
        <f>VALUE(IF(NewConsumers&gt;0,E13*'4.0 Activities'!O13,0))</f>
        <v>0</v>
      </c>
      <c r="G13" s="251">
        <f>VALUE(IF(NewIEPDs&gt;0,E13*'4.0 Activities'!P13,0))</f>
        <v>0</v>
      </c>
      <c r="H13" s="266">
        <f>E13+F13*NewConsumers+G13*NewIEPDs</f>
        <v>27725.200000000001</v>
      </c>
    </row>
    <row r="14" spans="1:8" ht="12" customHeight="1" thickBot="1" x14ac:dyDescent="0.25">
      <c r="B14" s="52"/>
      <c r="C14" s="236"/>
      <c r="D14" s="237" t="s">
        <v>257</v>
      </c>
      <c r="E14" s="252">
        <f>SUM(E11:E13)</f>
        <v>106193.60000000001</v>
      </c>
      <c r="F14" s="252">
        <f>SUM(F11:F13)</f>
        <v>25470.800000000003</v>
      </c>
      <c r="G14" s="252">
        <f>SUM(G11:G13)</f>
        <v>0</v>
      </c>
      <c r="H14" s="267">
        <f>SUM(H11:H13)</f>
        <v>131664.40000000002</v>
      </c>
    </row>
    <row r="15" spans="1:8" ht="12" customHeight="1" x14ac:dyDescent="0.2">
      <c r="B15" s="52"/>
      <c r="C15" s="53"/>
      <c r="D15" s="203"/>
      <c r="E15" s="253"/>
      <c r="F15" s="253"/>
      <c r="G15" s="253"/>
      <c r="H15" s="268"/>
    </row>
    <row r="16" spans="1:8" ht="12" customHeight="1" x14ac:dyDescent="0.2">
      <c r="B16" s="233">
        <v>2</v>
      </c>
      <c r="C16" s="234" t="s">
        <v>13</v>
      </c>
      <c r="D16" s="50"/>
      <c r="E16" s="254"/>
      <c r="F16" s="254"/>
      <c r="G16" s="254"/>
      <c r="H16" s="264"/>
    </row>
    <row r="17" spans="2:8" ht="12" customHeight="1" x14ac:dyDescent="0.2">
      <c r="B17" s="52"/>
      <c r="C17" s="53">
        <v>2.1</v>
      </c>
      <c r="D17" s="54" t="s">
        <v>74</v>
      </c>
      <c r="E17" s="250">
        <f xml:space="preserve">
VALUE(VLOOKUP('4.0 Activities'!D15,'2.0 Exchange Variables'!$H$8:$K$12,MATCH(Complexity,ComplexityList,0)+1,FALSE))*LCat1+
VALUE(VLOOKUP('4.0 Activities'!E15,'2.0 Exchange Variables'!$H$8:$K$12,MATCH(Complexity,ComplexityList,0)+1,FALSE))*LCat2+
VALUE(VLOOKUP('4.0 Activities'!F15,'2.0 Exchange Variables'!$H$8:$K$12,MATCH(Complexity,ComplexityList,0)+1,FALSE))*LCat3+
VALUE(VLOOKUP('4.0 Activities'!G15,'2.0 Exchange Variables'!$H$8:$K$12,MATCH(Complexity,ComplexityList,0)+1,FALSE))*LCat4+
VALUE(VLOOKUP('4.0 Activities'!H15,'2.0 Exchange Variables'!$H$8:$K$12,MATCH(Complexity,ComplexityList,0)+1,FALSE))*LCat5+
VALUE(VLOOKUP('4.0 Activities'!I15,'2.0 Exchange Variables'!$H$8:$K$12,MATCH(Complexity,ComplexityList,0)+1,FALSE))*LCat6+
VALUE(VLOOKUP('4.0 Activities'!J15,'2.0 Exchange Variables'!$H$8:$K$12,MATCH(Complexity,ComplexityList,0)+1,FALSE))*LCat7+
VALUE(VLOOKUP('4.0 Activities'!K15,'2.0 Exchange Variables'!$H$8:$K$12,MATCH(Complexity,ComplexityList,0)+1,FALSE))*LCat8+
VALUE(VLOOKUP('4.0 Activities'!L15,'2.0 Exchange Variables'!$H$8:$K$12,MATCH(Complexity,ComplexityList,0)+1,FALSE))*LCat9+
VALUE(VLOOKUP('4.0 Activities'!M15,'2.0 Exchange Variables'!$H$8:$K$12,MATCH(Complexity,ComplexityList,0)+1,FALSE))*LCat10</f>
        <v>56365.2</v>
      </c>
      <c r="F17" s="250">
        <f>VALUE(IF(NewConsumers&gt;0,E17*'4.0 Activities'!O15,))</f>
        <v>0</v>
      </c>
      <c r="G17" s="250">
        <f>VALUE(IF(NewIEPDs&gt;0,E17*'4.0 Activities'!P15,0))</f>
        <v>0</v>
      </c>
      <c r="H17" s="265">
        <f>E17+F17*NewConsumers+G17*NewIEPDs</f>
        <v>56365.2</v>
      </c>
    </row>
    <row r="18" spans="2:8" ht="12" customHeight="1" x14ac:dyDescent="0.2">
      <c r="B18" s="52"/>
      <c r="C18" s="55">
        <v>2.2000000000000002</v>
      </c>
      <c r="D18" s="56" t="s">
        <v>75</v>
      </c>
      <c r="E18" s="251">
        <f xml:space="preserve">
VALUE(VLOOKUP('4.0 Activities'!D16,'2.0 Exchange Variables'!$H$8:$K$12,MATCH(Complexity,ComplexityList,0)+1,FALSE))*LCat1+
VALUE(VLOOKUP('4.0 Activities'!E16,'2.0 Exchange Variables'!$H$8:$K$12,MATCH(Complexity,ComplexityList,0)+1,FALSE))*LCat2+
VALUE(VLOOKUP('4.0 Activities'!F16,'2.0 Exchange Variables'!$H$8:$K$12,MATCH(Complexity,ComplexityList,0)+1,FALSE))*LCat3+
VALUE(VLOOKUP('4.0 Activities'!G16,'2.0 Exchange Variables'!$H$8:$K$12,MATCH(Complexity,ComplexityList,0)+1,FALSE))*LCat4+
VALUE(VLOOKUP('4.0 Activities'!H16,'2.0 Exchange Variables'!$H$8:$K$12,MATCH(Complexity,ComplexityList,0)+1,FALSE))*LCat5+
VALUE(VLOOKUP('4.0 Activities'!I16,'2.0 Exchange Variables'!$H$8:$K$12,MATCH(Complexity,ComplexityList,0)+1,FALSE))*LCat6+
VALUE(VLOOKUP('4.0 Activities'!J16,'2.0 Exchange Variables'!$H$8:$K$12,MATCH(Complexity,ComplexityList,0)+1,FALSE))*LCat7+
VALUE(VLOOKUP('4.0 Activities'!K16,'2.0 Exchange Variables'!$H$8:$K$12,MATCH(Complexity,ComplexityList,0)+1,FALSE))*LCat8+
VALUE(VLOOKUP('4.0 Activities'!L16,'2.0 Exchange Variables'!$H$8:$K$12,MATCH(Complexity,ComplexityList,0)+1,FALSE))*LCat9+
VALUE(VLOOKUP('4.0 Activities'!M16,'2.0 Exchange Variables'!$H$8:$K$12,MATCH(Complexity,ComplexityList,0)+1,FALSE))*LCat10</f>
        <v>28104.800000000003</v>
      </c>
      <c r="F18" s="251">
        <f>VALUE(IF(NewConsumers&gt;0,E18*'4.0 Activities'!O16,))</f>
        <v>0</v>
      </c>
      <c r="G18" s="251">
        <f>VALUE(IF(NewIEPDs&gt;0,E18*'4.0 Activities'!P16,0))</f>
        <v>0</v>
      </c>
      <c r="H18" s="266">
        <f>E18+F18*NewConsumers+G18*NewIEPDs</f>
        <v>28104.800000000003</v>
      </c>
    </row>
    <row r="19" spans="2:8" ht="12" customHeight="1" thickBot="1" x14ac:dyDescent="0.25">
      <c r="B19" s="52"/>
      <c r="C19" s="241"/>
      <c r="D19" s="237" t="s">
        <v>257</v>
      </c>
      <c r="E19" s="255">
        <f>SUM(E17:E18)</f>
        <v>84470</v>
      </c>
      <c r="F19" s="255">
        <f>SUM(F17:F18)</f>
        <v>0</v>
      </c>
      <c r="G19" s="255">
        <f>SUM(G17:G18)</f>
        <v>0</v>
      </c>
      <c r="H19" s="269">
        <f>SUM(H17:H18)</f>
        <v>84470</v>
      </c>
    </row>
    <row r="20" spans="2:8" ht="12" customHeight="1" x14ac:dyDescent="0.2">
      <c r="B20" s="52"/>
      <c r="C20" s="53"/>
      <c r="E20" s="256"/>
      <c r="F20" s="256"/>
      <c r="G20" s="256"/>
      <c r="H20" s="270"/>
    </row>
    <row r="21" spans="2:8" ht="12" customHeight="1" x14ac:dyDescent="0.2">
      <c r="B21" s="233">
        <v>3</v>
      </c>
      <c r="C21" s="234" t="s">
        <v>77</v>
      </c>
      <c r="D21" s="50"/>
      <c r="E21" s="254"/>
      <c r="F21" s="254"/>
      <c r="G21" s="254"/>
      <c r="H21" s="264"/>
    </row>
    <row r="22" spans="2:8" ht="12" customHeight="1" x14ac:dyDescent="0.2">
      <c r="B22" s="57"/>
      <c r="C22" s="53">
        <v>3.1</v>
      </c>
      <c r="D22" s="54" t="s">
        <v>78</v>
      </c>
      <c r="E22" s="250">
        <f xml:space="preserve">
VALUE(VLOOKUP('4.0 Activities'!D18,'2.0 Exchange Variables'!$H$8:$K$12,MATCH(Complexity,ComplexityList,0)+1,FALSE))*LCat1+
VALUE(VLOOKUP('4.0 Activities'!E18,'2.0 Exchange Variables'!$H$8:$K$12,MATCH(Complexity,ComplexityList,0)+1,FALSE))*LCat2+
VALUE(VLOOKUP('4.0 Activities'!F18,'2.0 Exchange Variables'!$H$8:$K$12,MATCH(Complexity,ComplexityList,0)+1,FALSE))*LCat3+
VALUE(VLOOKUP('4.0 Activities'!G18,'2.0 Exchange Variables'!$H$8:$K$12,MATCH(Complexity,ComplexityList,0)+1,FALSE))*LCat4+
VALUE(VLOOKUP('4.0 Activities'!H18,'2.0 Exchange Variables'!$H$8:$K$12,MATCH(Complexity,ComplexityList,0)+1,FALSE))*LCat5+
VALUE(VLOOKUP('4.0 Activities'!I18,'2.0 Exchange Variables'!$H$8:$K$12,MATCH(Complexity,ComplexityList,0)+1,FALSE))*LCat6+
VALUE(VLOOKUP('4.0 Activities'!J18,'2.0 Exchange Variables'!$H$8:$K$12,MATCH(Complexity,ComplexityList,0)+1,FALSE))*LCat7+
VALUE(VLOOKUP('4.0 Activities'!K18,'2.0 Exchange Variables'!$H$8:$K$12,MATCH(Complexity,ComplexityList,0)+1,FALSE))*LCat8+
VALUE(VLOOKUP('4.0 Activities'!L18,'2.0 Exchange Variables'!$H$8:$K$12,MATCH(Complexity,ComplexityList,0)+1,FALSE))*LCat9+
VALUE(VLOOKUP('4.0 Activities'!M18,'2.0 Exchange Variables'!$H$8:$K$12,MATCH(Complexity,ComplexityList,0)+1,FALSE))*LCat10</f>
        <v>24366.000000000004</v>
      </c>
      <c r="F22" s="250">
        <f>VALUE(IF(NewConsumers&gt;0,E22*'4.0 Activities'!O18,))</f>
        <v>0</v>
      </c>
      <c r="G22" s="250">
        <f>VALUE(IF(NewIEPDs&gt;0,E22*'4.0 Activities'!P18,0))</f>
        <v>0</v>
      </c>
      <c r="H22" s="265">
        <f>E22+F22*NewConsumers+G22*NewIEPDs</f>
        <v>24366.000000000004</v>
      </c>
    </row>
    <row r="23" spans="2:8" ht="12" customHeight="1" x14ac:dyDescent="0.2">
      <c r="B23" s="57"/>
      <c r="C23" s="58" t="s">
        <v>79</v>
      </c>
      <c r="D23" s="56" t="s">
        <v>80</v>
      </c>
      <c r="E23" s="251">
        <f xml:space="preserve">
VALUE(VLOOKUP('4.0 Activities'!D19,'2.0 Exchange Variables'!$H$8:$K$12,MATCH(Complexity,ComplexityList,0)+1,FALSE))*LCat1+
VALUE(VLOOKUP('4.0 Activities'!E19,'2.0 Exchange Variables'!$H$8:$K$12,MATCH(Complexity,ComplexityList,0)+1,FALSE))*LCat2+
VALUE(VLOOKUP('4.0 Activities'!F19,'2.0 Exchange Variables'!$H$8:$K$12,MATCH(Complexity,ComplexityList,0)+1,FALSE))*LCat3+
VALUE(VLOOKUP('4.0 Activities'!G19,'2.0 Exchange Variables'!$H$8:$K$12,MATCH(Complexity,ComplexityList,0)+1,FALSE))*LCat4+
VALUE(VLOOKUP('4.0 Activities'!H19,'2.0 Exchange Variables'!$H$8:$K$12,MATCH(Complexity,ComplexityList,0)+1,FALSE))*LCat5+
VALUE(VLOOKUP('4.0 Activities'!I19,'2.0 Exchange Variables'!$H$8:$K$12,MATCH(Complexity,ComplexityList,0)+1,FALSE))*LCat6+
VALUE(VLOOKUP('4.0 Activities'!J19,'2.0 Exchange Variables'!$H$8:$K$12,MATCH(Complexity,ComplexityList,0)+1,FALSE))*LCat7+
VALUE(VLOOKUP('4.0 Activities'!K19,'2.0 Exchange Variables'!$H$8:$K$12,MATCH(Complexity,ComplexityList,0)+1,FALSE))*LCat8+
VALUE(VLOOKUP('4.0 Activities'!L19,'2.0 Exchange Variables'!$H$8:$K$12,MATCH(Complexity,ComplexityList,0)+1,FALSE))*LCat9+
VALUE(VLOOKUP('4.0 Activities'!M19,'2.0 Exchange Variables'!$H$8:$K$12,MATCH(Complexity,ComplexityList,0)+1,FALSE))*LCat10</f>
        <v>25196.800000000003</v>
      </c>
      <c r="F23" s="251">
        <f>VALUE(IF(NewConsumers&gt;0,E23*'4.0 Activities'!O19,))</f>
        <v>6299.2000000000007</v>
      </c>
      <c r="G23" s="251">
        <f>VALUE(IF(NewIEPDs&gt;0,E23*'4.0 Activities'!P19,0))</f>
        <v>0</v>
      </c>
      <c r="H23" s="266">
        <f>E23+F23*NewConsumers+G23*NewIEPDs</f>
        <v>31496.000000000004</v>
      </c>
    </row>
    <row r="24" spans="2:8" ht="12" customHeight="1" thickBot="1" x14ac:dyDescent="0.25">
      <c r="B24" s="57"/>
      <c r="C24" s="244"/>
      <c r="D24" s="237" t="s">
        <v>257</v>
      </c>
      <c r="E24" s="252">
        <f>SUM(E22:E23)</f>
        <v>49562.8</v>
      </c>
      <c r="F24" s="252">
        <f>SUM(F22:F23)</f>
        <v>6299.2000000000007</v>
      </c>
      <c r="G24" s="252">
        <f>SUM(G22:G23)</f>
        <v>0</v>
      </c>
      <c r="H24" s="267">
        <f>SUM(H22:H23)</f>
        <v>55862.000000000007</v>
      </c>
    </row>
    <row r="25" spans="2:8" ht="12" customHeight="1" x14ac:dyDescent="0.2">
      <c r="B25" s="57"/>
      <c r="C25" s="59"/>
      <c r="E25" s="256"/>
      <c r="F25" s="256"/>
      <c r="G25" s="256"/>
      <c r="H25" s="270"/>
    </row>
    <row r="26" spans="2:8" ht="12" customHeight="1" x14ac:dyDescent="0.2">
      <c r="B26" s="233">
        <v>4</v>
      </c>
      <c r="C26" s="234" t="s">
        <v>81</v>
      </c>
      <c r="D26" s="261"/>
      <c r="E26" s="254"/>
      <c r="F26" s="254"/>
      <c r="G26" s="254"/>
      <c r="H26" s="264"/>
    </row>
    <row r="27" spans="2:8" ht="12" customHeight="1" x14ac:dyDescent="0.2">
      <c r="B27" s="57"/>
      <c r="C27" s="53">
        <v>4.0999999999999996</v>
      </c>
      <c r="D27" s="54" t="s">
        <v>225</v>
      </c>
      <c r="E27" s="250">
        <f xml:space="preserve">
VALUE(VLOOKUP('4.0 Activities'!D21,'2.0 Exchange Variables'!$H$8:$K$12,MATCH(Complexity,ComplexityList,0)+1,FALSE))*LCat1+
VALUE(VLOOKUP('4.0 Activities'!E21,'2.0 Exchange Variables'!$H$8:$K$12,MATCH(Complexity,ComplexityList,0)+1,FALSE))*LCat2+
VALUE(VLOOKUP('4.0 Activities'!F21,'2.0 Exchange Variables'!$H$8:$K$12,MATCH(Complexity,ComplexityList,0)+1,FALSE))*LCat3+
VALUE(VLOOKUP('4.0 Activities'!G21,'2.0 Exchange Variables'!$H$8:$K$12,MATCH(Complexity,ComplexityList,0)+1,FALSE))*LCat4+
VALUE(VLOOKUP('4.0 Activities'!H21,'2.0 Exchange Variables'!$H$8:$K$12,MATCH(Complexity,ComplexityList,0)+1,FALSE))*LCat5+
VALUE(VLOOKUP('4.0 Activities'!I21,'2.0 Exchange Variables'!$H$8:$K$12,MATCH(Complexity,ComplexityList,0)+1,FALSE))*LCat6+
VALUE(VLOOKUP('4.0 Activities'!J21,'2.0 Exchange Variables'!$H$8:$K$12,MATCH(Complexity,ComplexityList,0)+1,FALSE))*LCat7+
VALUE(VLOOKUP('4.0 Activities'!K21,'2.0 Exchange Variables'!$H$8:$K$12,MATCH(Complexity,ComplexityList,0)+1,FALSE))*LCat8+
VALUE(VLOOKUP('4.0 Activities'!L21,'2.0 Exchange Variables'!$H$8:$K$12,MATCH(Complexity,ComplexityList,0)+1,FALSE))*LCat9+
VALUE(VLOOKUP('4.0 Activities'!M21,'2.0 Exchange Variables'!$H$8:$K$12,MATCH(Complexity,ComplexityList,0)+1,FALSE))*LCat10</f>
        <v>7360.8</v>
      </c>
      <c r="F27" s="250">
        <f>VALUE(IF(NewConsumers&gt;0,E27*'4.0 Activities'!O21,))</f>
        <v>1840.2</v>
      </c>
      <c r="G27" s="250">
        <f>VALUE(IF(NewIEPDs&gt;0,E27*'4.0 Activities'!P21,0))</f>
        <v>0</v>
      </c>
      <c r="H27" s="265">
        <f t="shared" ref="H27:H32" si="0">E27+F27*NewConsumers+G27*NewIEPDs</f>
        <v>9201</v>
      </c>
    </row>
    <row r="28" spans="2:8" ht="12" customHeight="1" x14ac:dyDescent="0.2">
      <c r="B28" s="57"/>
      <c r="C28" s="53" t="s">
        <v>83</v>
      </c>
      <c r="D28" s="54" t="s">
        <v>226</v>
      </c>
      <c r="E28" s="250">
        <f xml:space="preserve">
VALUE(VLOOKUP('4.0 Activities'!D22,'2.0 Exchange Variables'!$H$8:$K$12,MATCH(Complexity,ComplexityList,0)+1,FALSE))*LCat1+
VALUE(VLOOKUP('4.0 Activities'!E22,'2.0 Exchange Variables'!$H$8:$K$12,MATCH(Complexity,ComplexityList,0)+1,FALSE))*LCat2+
VALUE(VLOOKUP('4.0 Activities'!F22,'2.0 Exchange Variables'!$H$8:$K$12,MATCH(Complexity,ComplexityList,0)+1,FALSE))*LCat3+
VALUE(VLOOKUP('4.0 Activities'!G22,'2.0 Exchange Variables'!$H$8:$K$12,MATCH(Complexity,ComplexityList,0)+1,FALSE))*LCat4+
VALUE(VLOOKUP('4.0 Activities'!H22,'2.0 Exchange Variables'!$H$8:$K$12,MATCH(Complexity,ComplexityList,0)+1,FALSE))*LCat5+
VALUE(VLOOKUP('4.0 Activities'!I22,'2.0 Exchange Variables'!$H$8:$K$12,MATCH(Complexity,ComplexityList,0)+1,FALSE))*LCat6+
VALUE(VLOOKUP('4.0 Activities'!J22,'2.0 Exchange Variables'!$H$8:$K$12,MATCH(Complexity,ComplexityList,0)+1,FALSE))*LCat7+
VALUE(VLOOKUP('4.0 Activities'!K22,'2.0 Exchange Variables'!$H$8:$K$12,MATCH(Complexity,ComplexityList,0)+1,FALSE))*LCat8+
VALUE(VLOOKUP('4.0 Activities'!L22,'2.0 Exchange Variables'!$H$8:$K$12,MATCH(Complexity,ComplexityList,0)+1,FALSE))*LCat9+
VALUE(VLOOKUP('4.0 Activities'!M22,'2.0 Exchange Variables'!$H$8:$K$12,MATCH(Complexity,ComplexityList,0)+1,FALSE))*LCat10</f>
        <v>2822.4</v>
      </c>
      <c r="F28" s="250">
        <f>VALUE(IF(NewConsumers&gt;0,E28*'4.0 Activities'!O22,))</f>
        <v>705.6</v>
      </c>
      <c r="G28" s="250">
        <f>VALUE(IF(NewIEPDs&gt;0,E28*'4.0 Activities'!P22,0))</f>
        <v>0</v>
      </c>
      <c r="H28" s="265">
        <f t="shared" si="0"/>
        <v>3528</v>
      </c>
    </row>
    <row r="29" spans="2:8" ht="12" customHeight="1" x14ac:dyDescent="0.2">
      <c r="B29" s="57"/>
      <c r="C29" s="53" t="s">
        <v>85</v>
      </c>
      <c r="D29" s="54" t="s">
        <v>116</v>
      </c>
      <c r="E29" s="250">
        <f xml:space="preserve">
VALUE(VLOOKUP('4.0 Activities'!D23,'2.0 Exchange Variables'!$H$8:$K$12,MATCH(Complexity,ComplexityList,0)+1,FALSE))*LCat1+
VALUE(VLOOKUP('4.0 Activities'!E23,'2.0 Exchange Variables'!$H$8:$K$12,MATCH(Complexity,ComplexityList,0)+1,FALSE))*LCat2+
VALUE(VLOOKUP('4.0 Activities'!F23,'2.0 Exchange Variables'!$H$8:$K$12,MATCH(Complexity,ComplexityList,0)+1,FALSE))*LCat3+
VALUE(VLOOKUP('4.0 Activities'!G23,'2.0 Exchange Variables'!$H$8:$K$12,MATCH(Complexity,ComplexityList,0)+1,FALSE))*LCat4+
VALUE(VLOOKUP('4.0 Activities'!H23,'2.0 Exchange Variables'!$H$8:$K$12,MATCH(Complexity,ComplexityList,0)+1,FALSE))*LCat5+
VALUE(VLOOKUP('4.0 Activities'!I23,'2.0 Exchange Variables'!$H$8:$K$12,MATCH(Complexity,ComplexityList,0)+1,FALSE))*LCat6+
VALUE(VLOOKUP('4.0 Activities'!J23,'2.0 Exchange Variables'!$H$8:$K$12,MATCH(Complexity,ComplexityList,0)+1,FALSE))*LCat7+
VALUE(VLOOKUP('4.0 Activities'!K23,'2.0 Exchange Variables'!$H$8:$K$12,MATCH(Complexity,ComplexityList,0)+1,FALSE))*LCat8+
VALUE(VLOOKUP('4.0 Activities'!L23,'2.0 Exchange Variables'!$H$8:$K$12,MATCH(Complexity,ComplexityList,0)+1,FALSE))*LCat9+
VALUE(VLOOKUP('4.0 Activities'!M23,'2.0 Exchange Variables'!$H$8:$K$12,MATCH(Complexity,ComplexityList,0)+1,FALSE))*LCat10</f>
        <v>19508.400000000001</v>
      </c>
      <c r="F29" s="250">
        <f>VALUE(IF(NewConsumers&gt;0,E29*'4.0 Activities'!O23,))</f>
        <v>4877.1000000000004</v>
      </c>
      <c r="G29" s="250">
        <f>VALUE(IF(NewIEPDs&gt;0,E29*'4.0 Activities'!P23,0))</f>
        <v>0</v>
      </c>
      <c r="H29" s="265">
        <f t="shared" si="0"/>
        <v>24385.5</v>
      </c>
    </row>
    <row r="30" spans="2:8" ht="12" customHeight="1" x14ac:dyDescent="0.2">
      <c r="B30" s="57"/>
      <c r="C30" s="53" t="s">
        <v>87</v>
      </c>
      <c r="D30" s="54" t="s">
        <v>88</v>
      </c>
      <c r="E30" s="250">
        <f xml:space="preserve">
VALUE(VLOOKUP('4.0 Activities'!D24,'2.0 Exchange Variables'!$H$8:$K$12,MATCH(Complexity,ComplexityList,0)+1,FALSE))*LCat1+
VALUE(VLOOKUP('4.0 Activities'!E24,'2.0 Exchange Variables'!$H$8:$K$12,MATCH(Complexity,ComplexityList,0)+1,FALSE))*LCat2+
VALUE(VLOOKUP('4.0 Activities'!F24,'2.0 Exchange Variables'!$H$8:$K$12,MATCH(Complexity,ComplexityList,0)+1,FALSE))*LCat3+
VALUE(VLOOKUP('4.0 Activities'!G24,'2.0 Exchange Variables'!$H$8:$K$12,MATCH(Complexity,ComplexityList,0)+1,FALSE))*LCat4+
VALUE(VLOOKUP('4.0 Activities'!H24,'2.0 Exchange Variables'!$H$8:$K$12,MATCH(Complexity,ComplexityList,0)+1,FALSE))*LCat5+
VALUE(VLOOKUP('4.0 Activities'!I24,'2.0 Exchange Variables'!$H$8:$K$12,MATCH(Complexity,ComplexityList,0)+1,FALSE))*LCat6+
VALUE(VLOOKUP('4.0 Activities'!J24,'2.0 Exchange Variables'!$H$8:$K$12,MATCH(Complexity,ComplexityList,0)+1,FALSE))*LCat7+
VALUE(VLOOKUP('4.0 Activities'!K24,'2.0 Exchange Variables'!$H$8:$K$12,MATCH(Complexity,ComplexityList,0)+1,FALSE))*LCat8+
VALUE(VLOOKUP('4.0 Activities'!L24,'2.0 Exchange Variables'!$H$8:$K$12,MATCH(Complexity,ComplexityList,0)+1,FALSE))*LCat9+
VALUE(VLOOKUP('4.0 Activities'!M24,'2.0 Exchange Variables'!$H$8:$K$12,MATCH(Complexity,ComplexityList,0)+1,FALSE))*LCat10</f>
        <v>13005.6</v>
      </c>
      <c r="F30" s="250">
        <f>VALUE(IF(NewConsumers&gt;0,E30*'4.0 Activities'!O24,))</f>
        <v>6502.8</v>
      </c>
      <c r="G30" s="250">
        <f>VALUE(IF(NewIEPDs&gt;0,E30*'4.0 Activities'!P24,0))</f>
        <v>0</v>
      </c>
      <c r="H30" s="265">
        <f t="shared" si="0"/>
        <v>19508.400000000001</v>
      </c>
    </row>
    <row r="31" spans="2:8" ht="12" customHeight="1" x14ac:dyDescent="0.2">
      <c r="B31" s="57"/>
      <c r="C31" s="53">
        <v>4.3</v>
      </c>
      <c r="D31" s="54" t="s">
        <v>89</v>
      </c>
      <c r="E31" s="250">
        <f xml:space="preserve">
VALUE(VLOOKUP('4.0 Activities'!D25,'2.0 Exchange Variables'!$H$8:$K$12,MATCH(Complexity,ComplexityList,0)+1,FALSE))*LCat1+
VALUE(VLOOKUP('4.0 Activities'!E25,'2.0 Exchange Variables'!$H$8:$K$12,MATCH(Complexity,ComplexityList,0)+1,FALSE))*LCat2+
VALUE(VLOOKUP('4.0 Activities'!F25,'2.0 Exchange Variables'!$H$8:$K$12,MATCH(Complexity,ComplexityList,0)+1,FALSE))*LCat3+
VALUE(VLOOKUP('4.0 Activities'!G25,'2.0 Exchange Variables'!$H$8:$K$12,MATCH(Complexity,ComplexityList,0)+1,FALSE))*LCat4+
VALUE(VLOOKUP('4.0 Activities'!H25,'2.0 Exchange Variables'!$H$8:$K$12,MATCH(Complexity,ComplexityList,0)+1,FALSE))*LCat5+
VALUE(VLOOKUP('4.0 Activities'!I25,'2.0 Exchange Variables'!$H$8:$K$12,MATCH(Complexity,ComplexityList,0)+1,FALSE))*LCat6+
VALUE(VLOOKUP('4.0 Activities'!J25,'2.0 Exchange Variables'!$H$8:$K$12,MATCH(Complexity,ComplexityList,0)+1,FALSE))*LCat7+
VALUE(VLOOKUP('4.0 Activities'!K25,'2.0 Exchange Variables'!$H$8:$K$12,MATCH(Complexity,ComplexityList,0)+1,FALSE))*LCat8+
VALUE(VLOOKUP('4.0 Activities'!L25,'2.0 Exchange Variables'!$H$8:$K$12,MATCH(Complexity,ComplexityList,0)+1,FALSE))*LCat9+
VALUE(VLOOKUP('4.0 Activities'!M25,'2.0 Exchange Variables'!$H$8:$K$12,MATCH(Complexity,ComplexityList,0)+1,FALSE))*LCat10</f>
        <v>17005.599999999999</v>
      </c>
      <c r="F31" s="250">
        <f>VALUE(IF(NewConsumers&gt;0,E31*'4.0 Activities'!O25,))</f>
        <v>8502.7999999999993</v>
      </c>
      <c r="G31" s="250">
        <f>VALUE(IF(NewIEPDs&gt;0,E31*'4.0 Activities'!P25,0))</f>
        <v>0</v>
      </c>
      <c r="H31" s="265">
        <f t="shared" si="0"/>
        <v>25508.399999999998</v>
      </c>
    </row>
    <row r="32" spans="2:8" ht="12" customHeight="1" x14ac:dyDescent="0.2">
      <c r="B32" s="57"/>
      <c r="C32" s="55">
        <v>4.4000000000000004</v>
      </c>
      <c r="D32" s="56" t="s">
        <v>90</v>
      </c>
      <c r="E32" s="251">
        <f xml:space="preserve">
VALUE(VLOOKUP('4.0 Activities'!D26,'2.0 Exchange Variables'!$H$8:$K$12,MATCH(Complexity,ComplexityList,0)+1,FALSE))*LCat1+
VALUE(VLOOKUP('4.0 Activities'!E26,'2.0 Exchange Variables'!$H$8:$K$12,MATCH(Complexity,ComplexityList,0)+1,FALSE))*LCat2+
VALUE(VLOOKUP('4.0 Activities'!F26,'2.0 Exchange Variables'!$H$8:$K$12,MATCH(Complexity,ComplexityList,0)+1,FALSE))*LCat3+
VALUE(VLOOKUP('4.0 Activities'!G26,'2.0 Exchange Variables'!$H$8:$K$12,MATCH(Complexity,ComplexityList,0)+1,FALSE))*LCat4+
VALUE(VLOOKUP('4.0 Activities'!H26,'2.0 Exchange Variables'!$H$8:$K$12,MATCH(Complexity,ComplexityList,0)+1,FALSE))*LCat5+
VALUE(VLOOKUP('4.0 Activities'!I26,'2.0 Exchange Variables'!$H$8:$K$12,MATCH(Complexity,ComplexityList,0)+1,FALSE))*LCat6+
VALUE(VLOOKUP('4.0 Activities'!J26,'2.0 Exchange Variables'!$H$8:$K$12,MATCH(Complexity,ComplexityList,0)+1,FALSE))*LCat7+
VALUE(VLOOKUP('4.0 Activities'!K26,'2.0 Exchange Variables'!$H$8:$K$12,MATCH(Complexity,ComplexityList,0)+1,FALSE))*LCat8+
VALUE(VLOOKUP('4.0 Activities'!L26,'2.0 Exchange Variables'!$H$8:$K$12,MATCH(Complexity,ComplexityList,0)+1,FALSE))*LCat9+
VALUE(VLOOKUP('4.0 Activities'!M26,'2.0 Exchange Variables'!$H$8:$K$12,MATCH(Complexity,ComplexityList,0)+1,FALSE))*LCat10</f>
        <v>15361.28</v>
      </c>
      <c r="F32" s="251">
        <f>VALUE(IF(NewConsumers&gt;0,E32*'4.0 Activities'!O26,))</f>
        <v>7680.64</v>
      </c>
      <c r="G32" s="251">
        <f>VALUE(IF(NewIEPDs&gt;0,E32*'4.0 Activities'!P26,0))</f>
        <v>0</v>
      </c>
      <c r="H32" s="266">
        <f t="shared" si="0"/>
        <v>23041.920000000002</v>
      </c>
    </row>
    <row r="33" spans="2:8" ht="12" customHeight="1" thickBot="1" x14ac:dyDescent="0.25">
      <c r="B33" s="57"/>
      <c r="C33" s="241"/>
      <c r="D33" s="237" t="s">
        <v>257</v>
      </c>
      <c r="E33" s="252">
        <f>SUM(E27:E32)</f>
        <v>75064.08</v>
      </c>
      <c r="F33" s="252">
        <f>SUM(F27:F32)</f>
        <v>30109.14</v>
      </c>
      <c r="G33" s="252">
        <f>SUM(G27:G32)</f>
        <v>0</v>
      </c>
      <c r="H33" s="267">
        <f>SUM(H27:H32)</f>
        <v>105173.22</v>
      </c>
    </row>
    <row r="34" spans="2:8" ht="12" customHeight="1" x14ac:dyDescent="0.2">
      <c r="B34" s="57"/>
      <c r="C34" s="239"/>
      <c r="D34" s="203"/>
      <c r="E34" s="253"/>
      <c r="F34" s="253"/>
      <c r="G34" s="253"/>
      <c r="H34" s="268"/>
    </row>
    <row r="35" spans="2:8" ht="12" customHeight="1" x14ac:dyDescent="0.2">
      <c r="B35" s="233">
        <v>5</v>
      </c>
      <c r="C35" s="234" t="s">
        <v>91</v>
      </c>
      <c r="D35" s="261"/>
      <c r="E35" s="254"/>
      <c r="F35" s="254"/>
      <c r="G35" s="254"/>
      <c r="H35" s="264"/>
    </row>
    <row r="36" spans="2:8" ht="12" customHeight="1" x14ac:dyDescent="0.2">
      <c r="B36" s="57"/>
      <c r="C36" s="53">
        <v>5.0999999999999996</v>
      </c>
      <c r="D36" s="54" t="s">
        <v>227</v>
      </c>
      <c r="E36" s="250">
        <f xml:space="preserve">
VALUE(VLOOKUP('4.0 Activities'!D28,'2.0 Exchange Variables'!$H$8:$K$12,MATCH(Complexity,ComplexityList,0)+1,FALSE))*LCat1+
VALUE(VLOOKUP('4.0 Activities'!E28,'2.0 Exchange Variables'!$H$8:$K$12,MATCH(Complexity,ComplexityList,0)+1,FALSE))*LCat2+
VALUE(VLOOKUP('4.0 Activities'!F28,'2.0 Exchange Variables'!$H$8:$K$12,MATCH(Complexity,ComplexityList,0)+1,FALSE))*LCat3+
VALUE(VLOOKUP('4.0 Activities'!G28,'2.0 Exchange Variables'!$H$8:$K$12,MATCH(Complexity,ComplexityList,0)+1,FALSE))*LCat4+
VALUE(VLOOKUP('4.0 Activities'!H28,'2.0 Exchange Variables'!$H$8:$K$12,MATCH(Complexity,ComplexityList,0)+1,FALSE))*LCat5+
VALUE(VLOOKUP('4.0 Activities'!I28,'2.0 Exchange Variables'!$H$8:$K$12,MATCH(Complexity,ComplexityList,0)+1,FALSE))*LCat6+
VALUE(VLOOKUP('4.0 Activities'!J28,'2.0 Exchange Variables'!$H$8:$K$12,MATCH(Complexity,ComplexityList,0)+1,FALSE))*LCat7+
VALUE(VLOOKUP('4.0 Activities'!K28,'2.0 Exchange Variables'!$H$8:$K$12,MATCH(Complexity,ComplexityList,0)+1,FALSE))*LCat8+
VALUE(VLOOKUP('4.0 Activities'!L28,'2.0 Exchange Variables'!$H$8:$K$12,MATCH(Complexity,ComplexityList,0)+1,FALSE))*LCat9+
VALUE(VLOOKUP('4.0 Activities'!M28,'2.0 Exchange Variables'!$H$8:$K$12,MATCH(Complexity,ComplexityList,0)+1,FALSE))*LCat10</f>
        <v>17077.2</v>
      </c>
      <c r="F36" s="250">
        <f>VALUE(IF(NewConsumers&gt;0,E36*'4.0 Activities'!O28,))</f>
        <v>4269.3</v>
      </c>
      <c r="G36" s="250">
        <f>VALUE(IF(NewIEPDs&gt;0,E36*'4.0 Activities'!P28,0))</f>
        <v>0</v>
      </c>
      <c r="H36" s="265">
        <f>E36+F36*NewConsumers+G36*NewIEPDs</f>
        <v>21346.5</v>
      </c>
    </row>
    <row r="37" spans="2:8" ht="12" customHeight="1" x14ac:dyDescent="0.2">
      <c r="B37" s="57"/>
      <c r="C37" s="55">
        <v>5.2</v>
      </c>
      <c r="D37" s="56" t="s">
        <v>93</v>
      </c>
      <c r="E37" s="251">
        <f xml:space="preserve">
VALUE(VLOOKUP('4.0 Activities'!D29,'2.0 Exchange Variables'!$H$8:$K$12,MATCH(Complexity,ComplexityList,0)+1,FALSE))*LCat1+
VALUE(VLOOKUP('4.0 Activities'!E29,'2.0 Exchange Variables'!$H$8:$K$12,MATCH(Complexity,ComplexityList,0)+1,FALSE))*LCat2+
VALUE(VLOOKUP('4.0 Activities'!F29,'2.0 Exchange Variables'!$H$8:$K$12,MATCH(Complexity,ComplexityList,0)+1,FALSE))*LCat3+
VALUE(VLOOKUP('4.0 Activities'!G29,'2.0 Exchange Variables'!$H$8:$K$12,MATCH(Complexity,ComplexityList,0)+1,FALSE))*LCat4+
VALUE(VLOOKUP('4.0 Activities'!H29,'2.0 Exchange Variables'!$H$8:$K$12,MATCH(Complexity,ComplexityList,0)+1,FALSE))*LCat5+
VALUE(VLOOKUP('4.0 Activities'!I29,'2.0 Exchange Variables'!$H$8:$K$12,MATCH(Complexity,ComplexityList,0)+1,FALSE))*LCat6+
VALUE(VLOOKUP('4.0 Activities'!J29,'2.0 Exchange Variables'!$H$8:$K$12,MATCH(Complexity,ComplexityList,0)+1,FALSE))*LCat7+
VALUE(VLOOKUP('4.0 Activities'!K29,'2.0 Exchange Variables'!$H$8:$K$12,MATCH(Complexity,ComplexityList,0)+1,FALSE))*LCat8+
VALUE(VLOOKUP('4.0 Activities'!L29,'2.0 Exchange Variables'!$H$8:$K$12,MATCH(Complexity,ComplexityList,0)+1,FALSE))*LCat9+
VALUE(VLOOKUP('4.0 Activities'!M29,'2.0 Exchange Variables'!$H$8:$K$12,MATCH(Complexity,ComplexityList,0)+1,FALSE))*LCat10</f>
        <v>17630.800000000003</v>
      </c>
      <c r="F37" s="251">
        <f>VALUE(IF(NewConsumers&gt;0,E37*'4.0 Activities'!O29,))</f>
        <v>4407.7000000000007</v>
      </c>
      <c r="G37" s="251">
        <f>VALUE(IF(NewIEPDs&gt;0,E37*'4.0 Activities'!P29,0))</f>
        <v>0</v>
      </c>
      <c r="H37" s="266">
        <f>E37+F37*NewConsumers+G37*NewIEPDs</f>
        <v>22038.500000000004</v>
      </c>
    </row>
    <row r="38" spans="2:8" ht="12" customHeight="1" thickBot="1" x14ac:dyDescent="0.25">
      <c r="B38" s="57"/>
      <c r="C38" s="241"/>
      <c r="D38" s="237" t="s">
        <v>257</v>
      </c>
      <c r="E38" s="252">
        <f>SUM(E36:E37)</f>
        <v>34708</v>
      </c>
      <c r="F38" s="252">
        <f>SUM(F36:F37)</f>
        <v>8677</v>
      </c>
      <c r="G38" s="252">
        <f>SUM(G36:G37)</f>
        <v>0</v>
      </c>
      <c r="H38" s="267">
        <f>SUM(H36:H37)</f>
        <v>43385</v>
      </c>
    </row>
    <row r="39" spans="2:8" ht="12" customHeight="1" x14ac:dyDescent="0.2">
      <c r="B39" s="57"/>
      <c r="C39" s="239"/>
      <c r="D39" s="203"/>
      <c r="E39" s="253"/>
      <c r="F39" s="253"/>
      <c r="G39" s="253"/>
      <c r="H39" s="268"/>
    </row>
    <row r="40" spans="2:8" ht="12" customHeight="1" x14ac:dyDescent="0.2">
      <c r="B40" s="233">
        <v>6</v>
      </c>
      <c r="C40" s="234" t="s">
        <v>14</v>
      </c>
      <c r="D40" s="50"/>
      <c r="E40" s="254"/>
      <c r="F40" s="254"/>
      <c r="G40" s="254"/>
      <c r="H40" s="264"/>
    </row>
    <row r="41" spans="2:8" ht="12" customHeight="1" x14ac:dyDescent="0.2">
      <c r="B41" s="52"/>
      <c r="C41" s="55">
        <v>6.1</v>
      </c>
      <c r="D41" s="56" t="s">
        <v>94</v>
      </c>
      <c r="E41" s="251">
        <f xml:space="preserve">
VALUE(VLOOKUP('4.0 Activities'!D31,'2.0 Exchange Variables'!$H$8:$K$12,MATCH(Complexity,ComplexityList,0)+1,FALSE))*LCat1+
VALUE(VLOOKUP('4.0 Activities'!E31,'2.0 Exchange Variables'!$H$8:$K$12,MATCH(Complexity,ComplexityList,0)+1,FALSE))*LCat2+
VALUE(VLOOKUP('4.0 Activities'!F31,'2.0 Exchange Variables'!$H$8:$K$12,MATCH(Complexity,ComplexityList,0)+1,FALSE))*LCat3+
VALUE(VLOOKUP('4.0 Activities'!G31,'2.0 Exchange Variables'!$H$8:$K$12,MATCH(Complexity,ComplexityList,0)+1,FALSE))*LCat4+
VALUE(VLOOKUP('4.0 Activities'!H31,'2.0 Exchange Variables'!$H$8:$K$12,MATCH(Complexity,ComplexityList,0)+1,FALSE))*LCat5+
VALUE(VLOOKUP('4.0 Activities'!I31,'2.0 Exchange Variables'!$H$8:$K$12,MATCH(Complexity,ComplexityList,0)+1,FALSE))*LCat6+
VALUE(VLOOKUP('4.0 Activities'!J31,'2.0 Exchange Variables'!$H$8:$K$12,MATCH(Complexity,ComplexityList,0)+1,FALSE))*LCat7+
VALUE(VLOOKUP('4.0 Activities'!K31,'2.0 Exchange Variables'!$H$8:$K$12,MATCH(Complexity,ComplexityList,0)+1,FALSE))*LCat8+
VALUE(VLOOKUP('4.0 Activities'!L31,'2.0 Exchange Variables'!$H$8:$K$12,MATCH(Complexity,ComplexityList,0)+1,FALSE))*LCat9+
VALUE(VLOOKUP('4.0 Activities'!M31,'2.0 Exchange Variables'!$H$8:$K$12,MATCH(Complexity,ComplexityList,0)+1,FALSE))*LCat10</f>
        <v>13673.6</v>
      </c>
      <c r="F41" s="251">
        <f>VALUE(IF(NewConsumers&gt;0,E41*'4.0 Activities'!O31,))</f>
        <v>3418.4</v>
      </c>
      <c r="G41" s="251">
        <f>VALUE(IF(NewIEPDs&gt;0,E41*'4.0 Activities'!P31,0))</f>
        <v>0</v>
      </c>
      <c r="H41" s="266">
        <f>E41+F41*NewConsumers+G41*NewIEPDs</f>
        <v>17092</v>
      </c>
    </row>
    <row r="42" spans="2:8" ht="12" customHeight="1" thickBot="1" x14ac:dyDescent="0.25">
      <c r="B42" s="52"/>
      <c r="C42" s="241"/>
      <c r="D42" s="237" t="s">
        <v>257</v>
      </c>
      <c r="E42" s="252">
        <f>SUM(E41)</f>
        <v>13673.6</v>
      </c>
      <c r="F42" s="252">
        <f>SUM(F41)</f>
        <v>3418.4</v>
      </c>
      <c r="G42" s="252">
        <f>SUM(G41)</f>
        <v>0</v>
      </c>
      <c r="H42" s="267">
        <f>SUM(H41)</f>
        <v>17092</v>
      </c>
    </row>
    <row r="43" spans="2:8" ht="12" customHeight="1" x14ac:dyDescent="0.2">
      <c r="B43" s="52"/>
      <c r="C43" s="239"/>
      <c r="D43" s="203"/>
      <c r="E43" s="253"/>
      <c r="F43" s="253"/>
      <c r="G43" s="253"/>
      <c r="H43" s="268"/>
    </row>
    <row r="44" spans="2:8" ht="12" customHeight="1" x14ac:dyDescent="0.2">
      <c r="B44" s="233">
        <v>7</v>
      </c>
      <c r="C44" s="234" t="s">
        <v>233</v>
      </c>
      <c r="D44" s="50"/>
      <c r="E44" s="257"/>
      <c r="F44" s="257"/>
      <c r="G44" s="257"/>
      <c r="H44" s="271"/>
    </row>
    <row r="45" spans="2:8" ht="12" customHeight="1" x14ac:dyDescent="0.2">
      <c r="B45" s="52"/>
      <c r="C45" s="53">
        <v>7.1</v>
      </c>
      <c r="D45" s="54" t="s">
        <v>186</v>
      </c>
      <c r="E45" s="250">
        <f xml:space="preserve">
VALUE(VLOOKUP('4.0 Activities'!D33,'2.0 Exchange Variables'!$H$8:$K$12,MATCH(Complexity,ComplexityList,0)+1,FALSE))*LCat1+
VALUE(VLOOKUP('4.0 Activities'!E33,'2.0 Exchange Variables'!$H$8:$K$12,MATCH(Complexity,ComplexityList,0)+1,FALSE))*LCat2+
VALUE(VLOOKUP('4.0 Activities'!F33,'2.0 Exchange Variables'!$H$8:$K$12,MATCH(Complexity,ComplexityList,0)+1,FALSE))*LCat3+
VALUE(VLOOKUP('4.0 Activities'!G33,'2.0 Exchange Variables'!$H$8:$K$12,MATCH(Complexity,ComplexityList,0)+1,FALSE))*LCat4+
VALUE(VLOOKUP('4.0 Activities'!H33,'2.0 Exchange Variables'!$H$8:$K$12,MATCH(Complexity,ComplexityList,0)+1,FALSE))*LCat5+
VALUE(VLOOKUP('4.0 Activities'!I33,'2.0 Exchange Variables'!$H$8:$K$12,MATCH(Complexity,ComplexityList,0)+1,FALSE))*LCat6+
VALUE(VLOOKUP('4.0 Activities'!J33,'2.0 Exchange Variables'!$H$8:$K$12,MATCH(Complexity,ComplexityList,0)+1,FALSE))*LCat7+
VALUE(VLOOKUP('4.0 Activities'!K33,'2.0 Exchange Variables'!$H$8:$K$12,MATCH(Complexity,ComplexityList,0)+1,FALSE))*LCat8+
VALUE(VLOOKUP('4.0 Activities'!L33,'2.0 Exchange Variables'!$H$8:$K$12,MATCH(Complexity,ComplexityList,0)+1,FALSE))*LCat9+
VALUE(VLOOKUP('4.0 Activities'!M33,'2.0 Exchange Variables'!$H$8:$K$12,MATCH(Complexity,ComplexityList,0)+1,FALSE))*LCat10</f>
        <v>27239.600000000002</v>
      </c>
      <c r="F45" s="250">
        <f>VALUE(IF(NewConsumers&gt;0,E45*'4.0 Activities'!O33,))</f>
        <v>0</v>
      </c>
      <c r="G45" s="250">
        <f>VALUE(IF(NewIEPDs&gt;0,E45*'4.0 Activities'!P33,0))</f>
        <v>0</v>
      </c>
      <c r="H45" s="265">
        <f t="shared" ref="H45:H50" si="1">E45+F45*NewConsumers+G45*NewIEPDs</f>
        <v>27239.600000000002</v>
      </c>
    </row>
    <row r="46" spans="2:8" ht="12" customHeight="1" x14ac:dyDescent="0.2">
      <c r="B46" s="52"/>
      <c r="C46" s="53">
        <v>7.2</v>
      </c>
      <c r="D46" s="54" t="s">
        <v>234</v>
      </c>
      <c r="E46" s="250">
        <f xml:space="preserve">
VALUE(VLOOKUP('4.0 Activities'!D34,'2.0 Exchange Variables'!$H$8:$K$12,MATCH(Complexity,ComplexityList,0)+1,FALSE))*LCat1+
VALUE(VLOOKUP('4.0 Activities'!E34,'2.0 Exchange Variables'!$H$8:$K$12,MATCH(Complexity,ComplexityList,0)+1,FALSE))*LCat2+
VALUE(VLOOKUP('4.0 Activities'!F34,'2.0 Exchange Variables'!$H$8:$K$12,MATCH(Complexity,ComplexityList,0)+1,FALSE))*LCat3+
VALUE(VLOOKUP('4.0 Activities'!G34,'2.0 Exchange Variables'!$H$8:$K$12,MATCH(Complexity,ComplexityList,0)+1,FALSE))*LCat4+
VALUE(VLOOKUP('4.0 Activities'!H34,'2.0 Exchange Variables'!$H$8:$K$12,MATCH(Complexity,ComplexityList,0)+1,FALSE))*LCat5+
VALUE(VLOOKUP('4.0 Activities'!I34,'2.0 Exchange Variables'!$H$8:$K$12,MATCH(Complexity,ComplexityList,0)+1,FALSE))*LCat6+
VALUE(VLOOKUP('4.0 Activities'!J34,'2.0 Exchange Variables'!$H$8:$K$12,MATCH(Complexity,ComplexityList,0)+1,FALSE))*LCat7+
VALUE(VLOOKUP('4.0 Activities'!K34,'2.0 Exchange Variables'!$H$8:$K$12,MATCH(Complexity,ComplexityList,0)+1,FALSE))*LCat8+
VALUE(VLOOKUP('4.0 Activities'!L34,'2.0 Exchange Variables'!$H$8:$K$12,MATCH(Complexity,ComplexityList,0)+1,FALSE))*LCat9+
VALUE(VLOOKUP('4.0 Activities'!M34,'2.0 Exchange Variables'!$H$8:$K$12,MATCH(Complexity,ComplexityList,0)+1,FALSE))*LCat10</f>
        <v>23239.600000000002</v>
      </c>
      <c r="F46" s="250">
        <f>VALUE(IF(NewConsumers&gt;0,E46*'4.0 Activities'!O34,))</f>
        <v>0</v>
      </c>
      <c r="G46" s="250">
        <f>VALUE(IF(NewIEPDs&gt;0,E46*'4.0 Activities'!P34,0))</f>
        <v>0</v>
      </c>
      <c r="H46" s="265">
        <f t="shared" si="1"/>
        <v>23239.600000000002</v>
      </c>
    </row>
    <row r="47" spans="2:8" ht="12" customHeight="1" x14ac:dyDescent="0.2">
      <c r="B47" s="52"/>
      <c r="C47" s="53">
        <v>7.3</v>
      </c>
      <c r="D47" s="54" t="s">
        <v>187</v>
      </c>
      <c r="E47" s="250">
        <f xml:space="preserve">
VALUE(VLOOKUP('4.0 Activities'!D35,'2.0 Exchange Variables'!$H$8:$K$12,MATCH(Complexity,ComplexityList,0)+1,FALSE))*LCat1+
VALUE(VLOOKUP('4.0 Activities'!E35,'2.0 Exchange Variables'!$H$8:$K$12,MATCH(Complexity,ComplexityList,0)+1,FALSE))*LCat2+
VALUE(VLOOKUP('4.0 Activities'!F35,'2.0 Exchange Variables'!$H$8:$K$12,MATCH(Complexity,ComplexityList,0)+1,FALSE))*LCat3+
VALUE(VLOOKUP('4.0 Activities'!G35,'2.0 Exchange Variables'!$H$8:$K$12,MATCH(Complexity,ComplexityList,0)+1,FALSE))*LCat4+
VALUE(VLOOKUP('4.0 Activities'!H35,'2.0 Exchange Variables'!$H$8:$K$12,MATCH(Complexity,ComplexityList,0)+1,FALSE))*LCat5+
VALUE(VLOOKUP('4.0 Activities'!I35,'2.0 Exchange Variables'!$H$8:$K$12,MATCH(Complexity,ComplexityList,0)+1,FALSE))*LCat6+
VALUE(VLOOKUP('4.0 Activities'!J35,'2.0 Exchange Variables'!$H$8:$K$12,MATCH(Complexity,ComplexityList,0)+1,FALSE))*LCat7+
VALUE(VLOOKUP('4.0 Activities'!K35,'2.0 Exchange Variables'!$H$8:$K$12,MATCH(Complexity,ComplexityList,0)+1,FALSE))*LCat8+
VALUE(VLOOKUP('4.0 Activities'!L35,'2.0 Exchange Variables'!$H$8:$K$12,MATCH(Complexity,ComplexityList,0)+1,FALSE))*LCat9+
VALUE(VLOOKUP('4.0 Activities'!M35,'2.0 Exchange Variables'!$H$8:$K$12,MATCH(Complexity,ComplexityList,0)+1,FALSE))*LCat10</f>
        <v>23239.600000000002</v>
      </c>
      <c r="F47" s="250">
        <f>VALUE(IF(NewConsumers&gt;0,E47*'4.0 Activities'!O35,))</f>
        <v>5809.9000000000005</v>
      </c>
      <c r="G47" s="250">
        <f>VALUE(IF(NewIEPDs&gt;0,E47*'4.0 Activities'!P35,0))</f>
        <v>0</v>
      </c>
      <c r="H47" s="265">
        <f t="shared" si="1"/>
        <v>29049.500000000004</v>
      </c>
    </row>
    <row r="48" spans="2:8" ht="12" customHeight="1" x14ac:dyDescent="0.2">
      <c r="B48" s="52"/>
      <c r="C48" s="53">
        <v>7.4</v>
      </c>
      <c r="D48" s="54" t="s">
        <v>161</v>
      </c>
      <c r="E48" s="250">
        <f xml:space="preserve">
VALUE(VLOOKUP('4.0 Activities'!D36,'2.0 Exchange Variables'!$H$8:$K$12,MATCH(Complexity,ComplexityList,0)+1,FALSE))*LCat1+
VALUE(VLOOKUP('4.0 Activities'!E36,'2.0 Exchange Variables'!$H$8:$K$12,MATCH(Complexity,ComplexityList,0)+1,FALSE))*LCat2+
VALUE(VLOOKUP('4.0 Activities'!F36,'2.0 Exchange Variables'!$H$8:$K$12,MATCH(Complexity,ComplexityList,0)+1,FALSE))*LCat3+
VALUE(VLOOKUP('4.0 Activities'!G36,'2.0 Exchange Variables'!$H$8:$K$12,MATCH(Complexity,ComplexityList,0)+1,FALSE))*LCat4+
VALUE(VLOOKUP('4.0 Activities'!H36,'2.0 Exchange Variables'!$H$8:$K$12,MATCH(Complexity,ComplexityList,0)+1,FALSE))*LCat5+
VALUE(VLOOKUP('4.0 Activities'!I36,'2.0 Exchange Variables'!$H$8:$K$12,MATCH(Complexity,ComplexityList,0)+1,FALSE))*LCat6+
VALUE(VLOOKUP('4.0 Activities'!J36,'2.0 Exchange Variables'!$H$8:$K$12,MATCH(Complexity,ComplexityList,0)+1,FALSE))*LCat7+
VALUE(VLOOKUP('4.0 Activities'!K36,'2.0 Exchange Variables'!$H$8:$K$12,MATCH(Complexity,ComplexityList,0)+1,FALSE))*LCat8+
VALUE(VLOOKUP('4.0 Activities'!L36,'2.0 Exchange Variables'!$H$8:$K$12,MATCH(Complexity,ComplexityList,0)+1,FALSE))*LCat9+
VALUE(VLOOKUP('4.0 Activities'!M36,'2.0 Exchange Variables'!$H$8:$K$12,MATCH(Complexity,ComplexityList,0)+1,FALSE))*LCat10</f>
        <v>9644.7999999999993</v>
      </c>
      <c r="F48" s="250">
        <f>VALUE(IF(NewConsumers&gt;0,E48*'4.0 Activities'!O36,))</f>
        <v>0</v>
      </c>
      <c r="G48" s="250">
        <f>VALUE(IF(NewIEPDs&gt;0,E48*'4.0 Activities'!P36,0))</f>
        <v>0</v>
      </c>
      <c r="H48" s="265">
        <f t="shared" si="1"/>
        <v>9644.7999999999993</v>
      </c>
    </row>
    <row r="49" spans="2:8" ht="12" customHeight="1" x14ac:dyDescent="0.2">
      <c r="B49" s="52"/>
      <c r="C49" s="53">
        <v>7.5</v>
      </c>
      <c r="D49" s="54" t="s">
        <v>162</v>
      </c>
      <c r="E49" s="250">
        <f xml:space="preserve">
VALUE(VLOOKUP('4.0 Activities'!D37,'2.0 Exchange Variables'!$H$8:$K$12,MATCH(Complexity,ComplexityList,0)+1,FALSE))*LCat1+
VALUE(VLOOKUP('4.0 Activities'!E37,'2.0 Exchange Variables'!$H$8:$K$12,MATCH(Complexity,ComplexityList,0)+1,FALSE))*LCat2+
VALUE(VLOOKUP('4.0 Activities'!F37,'2.0 Exchange Variables'!$H$8:$K$12,MATCH(Complexity,ComplexityList,0)+1,FALSE))*LCat3+
VALUE(VLOOKUP('4.0 Activities'!G37,'2.0 Exchange Variables'!$H$8:$K$12,MATCH(Complexity,ComplexityList,0)+1,FALSE))*LCat4+
VALUE(VLOOKUP('4.0 Activities'!H37,'2.0 Exchange Variables'!$H$8:$K$12,MATCH(Complexity,ComplexityList,0)+1,FALSE))*LCat5+
VALUE(VLOOKUP('4.0 Activities'!I37,'2.0 Exchange Variables'!$H$8:$K$12,MATCH(Complexity,ComplexityList,0)+1,FALSE))*LCat6+
VALUE(VLOOKUP('4.0 Activities'!J37,'2.0 Exchange Variables'!$H$8:$K$12,MATCH(Complexity,ComplexityList,0)+1,FALSE))*LCat7+
VALUE(VLOOKUP('4.0 Activities'!K37,'2.0 Exchange Variables'!$H$8:$K$12,MATCH(Complexity,ComplexityList,0)+1,FALSE))*LCat8+
VALUE(VLOOKUP('4.0 Activities'!L37,'2.0 Exchange Variables'!$H$8:$K$12,MATCH(Complexity,ComplexityList,0)+1,FALSE))*LCat9+
VALUE(VLOOKUP('4.0 Activities'!M37,'2.0 Exchange Variables'!$H$8:$K$12,MATCH(Complexity,ComplexityList,0)+1,FALSE))*LCat10</f>
        <v>13846.64</v>
      </c>
      <c r="F49" s="250">
        <f>VALUE(IF(NewConsumers&gt;0,E49*'4.0 Activities'!O37,))</f>
        <v>0</v>
      </c>
      <c r="G49" s="250">
        <f>VALUE(IF(NewIEPDs&gt;0,E49*'4.0 Activities'!P37,0))</f>
        <v>0</v>
      </c>
      <c r="H49" s="265">
        <f t="shared" si="1"/>
        <v>13846.64</v>
      </c>
    </row>
    <row r="50" spans="2:8" ht="12" customHeight="1" x14ac:dyDescent="0.2">
      <c r="B50" s="52"/>
      <c r="C50" s="55">
        <v>7.6</v>
      </c>
      <c r="D50" s="56" t="s">
        <v>163</v>
      </c>
      <c r="E50" s="251">
        <f xml:space="preserve">
VALUE(VLOOKUP('4.0 Activities'!D38,'2.0 Exchange Variables'!$H$8:$K$12,MATCH(Complexity,ComplexityList,0)+1,FALSE))*LCat1+
VALUE(VLOOKUP('4.0 Activities'!E38,'2.0 Exchange Variables'!$H$8:$K$12,MATCH(Complexity,ComplexityList,0)+1,FALSE))*LCat2+
VALUE(VLOOKUP('4.0 Activities'!F38,'2.0 Exchange Variables'!$H$8:$K$12,MATCH(Complexity,ComplexityList,0)+1,FALSE))*LCat3+
VALUE(VLOOKUP('4.0 Activities'!G38,'2.0 Exchange Variables'!$H$8:$K$12,MATCH(Complexity,ComplexityList,0)+1,FALSE))*LCat4+
VALUE(VLOOKUP('4.0 Activities'!H38,'2.0 Exchange Variables'!$H$8:$K$12,MATCH(Complexity,ComplexityList,0)+1,FALSE))*LCat5+
VALUE(VLOOKUP('4.0 Activities'!I38,'2.0 Exchange Variables'!$H$8:$K$12,MATCH(Complexity,ComplexityList,0)+1,FALSE))*LCat6+
VALUE(VLOOKUP('4.0 Activities'!J38,'2.0 Exchange Variables'!$H$8:$K$12,MATCH(Complexity,ComplexityList,0)+1,FALSE))*LCat7+
VALUE(VLOOKUP('4.0 Activities'!K38,'2.0 Exchange Variables'!$H$8:$K$12,MATCH(Complexity,ComplexityList,0)+1,FALSE))*LCat8+
VALUE(VLOOKUP('4.0 Activities'!L38,'2.0 Exchange Variables'!$H$8:$K$12,MATCH(Complexity,ComplexityList,0)+1,FALSE))*LCat9+
VALUE(VLOOKUP('4.0 Activities'!M38,'2.0 Exchange Variables'!$H$8:$K$12,MATCH(Complexity,ComplexityList,0)+1,FALSE))*LCat10</f>
        <v>26495.600000000002</v>
      </c>
      <c r="F50" s="251">
        <f>VALUE(IF(NewConsumers&gt;0,E50*'4.0 Activities'!O38,))</f>
        <v>13247.800000000001</v>
      </c>
      <c r="G50" s="251">
        <f>VALUE(IF(NewIEPDs&gt;0,E50*'4.0 Activities'!P38,0))</f>
        <v>0</v>
      </c>
      <c r="H50" s="266">
        <f t="shared" si="1"/>
        <v>39743.4</v>
      </c>
    </row>
    <row r="51" spans="2:8" ht="12" customHeight="1" thickBot="1" x14ac:dyDescent="0.25">
      <c r="B51" s="52"/>
      <c r="C51" s="241"/>
      <c r="D51" s="237" t="s">
        <v>257</v>
      </c>
      <c r="E51" s="252">
        <f>SUM(E45:E50)</f>
        <v>123705.84000000001</v>
      </c>
      <c r="F51" s="252">
        <f>SUM(F45:F50)</f>
        <v>19057.7</v>
      </c>
      <c r="G51" s="252">
        <f>SUM(G45:G50)</f>
        <v>0</v>
      </c>
      <c r="H51" s="272">
        <f>SUM(H45:H50)</f>
        <v>142763.54</v>
      </c>
    </row>
    <row r="52" spans="2:8" ht="12" customHeight="1" x14ac:dyDescent="0.2">
      <c r="B52" s="52"/>
      <c r="C52" s="239"/>
      <c r="D52" s="203"/>
      <c r="E52" s="253"/>
      <c r="F52" s="253"/>
      <c r="G52" s="253"/>
      <c r="H52" s="273"/>
    </row>
    <row r="53" spans="2:8" ht="12" customHeight="1" x14ac:dyDescent="0.2">
      <c r="B53" s="233">
        <v>8</v>
      </c>
      <c r="C53" s="234" t="s">
        <v>235</v>
      </c>
      <c r="D53" s="50"/>
      <c r="E53" s="257"/>
      <c r="F53" s="257"/>
      <c r="G53" s="257"/>
      <c r="H53" s="271"/>
    </row>
    <row r="54" spans="2:8" ht="12" customHeight="1" x14ac:dyDescent="0.2">
      <c r="B54" s="52"/>
      <c r="C54" s="53">
        <v>8.1</v>
      </c>
      <c r="D54" s="54" t="s">
        <v>236</v>
      </c>
      <c r="E54" s="250">
        <f xml:space="preserve">
VALUE(VLOOKUP('4.0 Activities'!D40,'2.0 Exchange Variables'!$H$8:$K$12,MATCH(Complexity,ComplexityList,0)+1,FALSE))*LCat1+
VALUE(VLOOKUP('4.0 Activities'!E40,'2.0 Exchange Variables'!$H$8:$K$12,MATCH(Complexity,ComplexityList,0)+1,FALSE))*LCat2+
VALUE(VLOOKUP('4.0 Activities'!F40,'2.0 Exchange Variables'!$H$8:$K$12,MATCH(Complexity,ComplexityList,0)+1,FALSE))*LCat3+
VALUE(VLOOKUP('4.0 Activities'!G40,'2.0 Exchange Variables'!$H$8:$K$12,MATCH(Complexity,ComplexityList,0)+1,FALSE))*LCat4+
VALUE(VLOOKUP('4.0 Activities'!H40,'2.0 Exchange Variables'!$H$8:$K$12,MATCH(Complexity,ComplexityList,0)+1,FALSE))*LCat5+
VALUE(VLOOKUP('4.0 Activities'!I40,'2.0 Exchange Variables'!$H$8:$K$12,MATCH(Complexity,ComplexityList,0)+1,FALSE))*LCat6+
VALUE(VLOOKUP('4.0 Activities'!J40,'2.0 Exchange Variables'!$H$8:$K$12,MATCH(Complexity,ComplexityList,0)+1,FALSE))*LCat7+
VALUE(VLOOKUP('4.0 Activities'!K40,'2.0 Exchange Variables'!$H$8:$K$12,MATCH(Complexity,ComplexityList,0)+1,FALSE))*LCat8+
VALUE(VLOOKUP('4.0 Activities'!L40,'2.0 Exchange Variables'!$H$8:$K$12,MATCH(Complexity,ComplexityList,0)+1,FALSE))*LCat9+
VALUE(VLOOKUP('4.0 Activities'!M40,'2.0 Exchange Variables'!$H$8:$K$12,MATCH(Complexity,ComplexityList,0)+1,FALSE))*LCat10</f>
        <v>26920.000000000004</v>
      </c>
      <c r="F54" s="250">
        <f>VALUE(IF(NewConsumers&gt;0,E54*'4.0 Activities'!O40,))</f>
        <v>6730.0000000000009</v>
      </c>
      <c r="G54" s="250">
        <f>VALUE(IF(NewIEPDs&gt;0,E54*'4.0 Activities'!P40,0))</f>
        <v>0</v>
      </c>
      <c r="H54" s="265">
        <f>E54+F54*NewConsumers+G54*NewIEPDs</f>
        <v>33650.000000000007</v>
      </c>
    </row>
    <row r="55" spans="2:8" ht="12" customHeight="1" x14ac:dyDescent="0.2">
      <c r="B55" s="52"/>
      <c r="C55" s="53">
        <v>8.1999999999999993</v>
      </c>
      <c r="D55" s="54" t="s">
        <v>237</v>
      </c>
      <c r="E55" s="250">
        <f xml:space="preserve">
VALUE(VLOOKUP('4.0 Activities'!D41,'2.0 Exchange Variables'!$H$8:$K$12,MATCH(Complexity,ComplexityList,0)+1,FALSE))*LCat1+
VALUE(VLOOKUP('4.0 Activities'!E41,'2.0 Exchange Variables'!$H$8:$K$12,MATCH(Complexity,ComplexityList,0)+1,FALSE))*LCat2+
VALUE(VLOOKUP('4.0 Activities'!F41,'2.0 Exchange Variables'!$H$8:$K$12,MATCH(Complexity,ComplexityList,0)+1,FALSE))*LCat3+
VALUE(VLOOKUP('4.0 Activities'!G41,'2.0 Exchange Variables'!$H$8:$K$12,MATCH(Complexity,ComplexityList,0)+1,FALSE))*LCat4+
VALUE(VLOOKUP('4.0 Activities'!H41,'2.0 Exchange Variables'!$H$8:$K$12,MATCH(Complexity,ComplexityList,0)+1,FALSE))*LCat5+
VALUE(VLOOKUP('4.0 Activities'!I41,'2.0 Exchange Variables'!$H$8:$K$12,MATCH(Complexity,ComplexityList,0)+1,FALSE))*LCat6+
VALUE(VLOOKUP('4.0 Activities'!J41,'2.0 Exchange Variables'!$H$8:$K$12,MATCH(Complexity,ComplexityList,0)+1,FALSE))*LCat7+
VALUE(VLOOKUP('4.0 Activities'!K41,'2.0 Exchange Variables'!$H$8:$K$12,MATCH(Complexity,ComplexityList,0)+1,FALSE))*LCat8+
VALUE(VLOOKUP('4.0 Activities'!L41,'2.0 Exchange Variables'!$H$8:$K$12,MATCH(Complexity,ComplexityList,0)+1,FALSE))*LCat9+
VALUE(VLOOKUP('4.0 Activities'!M41,'2.0 Exchange Variables'!$H$8:$K$12,MATCH(Complexity,ComplexityList,0)+1,FALSE))*LCat10</f>
        <v>26920.000000000004</v>
      </c>
      <c r="F55" s="250">
        <f>VALUE(IF(NewConsumers&gt;0,E55*'4.0 Activities'!O41,))</f>
        <v>6730.0000000000009</v>
      </c>
      <c r="G55" s="250">
        <f>VALUE(IF(NewIEPDs&gt;0,E55*'4.0 Activities'!P41,0))</f>
        <v>0</v>
      </c>
      <c r="H55" s="265">
        <f>E55+F55*NewConsumers+G55*NewIEPDs</f>
        <v>33650.000000000007</v>
      </c>
    </row>
    <row r="56" spans="2:8" ht="12" customHeight="1" x14ac:dyDescent="0.2">
      <c r="B56" s="52"/>
      <c r="C56" s="55">
        <v>8.3000000000000007</v>
      </c>
      <c r="D56" s="56" t="s">
        <v>164</v>
      </c>
      <c r="E56" s="251">
        <f xml:space="preserve">
VALUE(VLOOKUP('4.0 Activities'!D42,'2.0 Exchange Variables'!$H$8:$K$12,MATCH(Complexity,ComplexityList,0)+1,FALSE))*LCat1+
VALUE(VLOOKUP('4.0 Activities'!E42,'2.0 Exchange Variables'!$H$8:$K$12,MATCH(Complexity,ComplexityList,0)+1,FALSE))*LCat2+
VALUE(VLOOKUP('4.0 Activities'!F42,'2.0 Exchange Variables'!$H$8:$K$12,MATCH(Complexity,ComplexityList,0)+1,FALSE))*LCat3+
VALUE(VLOOKUP('4.0 Activities'!G42,'2.0 Exchange Variables'!$H$8:$K$12,MATCH(Complexity,ComplexityList,0)+1,FALSE))*LCat4+
VALUE(VLOOKUP('4.0 Activities'!H42,'2.0 Exchange Variables'!$H$8:$K$12,MATCH(Complexity,ComplexityList,0)+1,FALSE))*LCat5+
VALUE(VLOOKUP('4.0 Activities'!I42,'2.0 Exchange Variables'!$H$8:$K$12,MATCH(Complexity,ComplexityList,0)+1,FALSE))*LCat6+
VALUE(VLOOKUP('4.0 Activities'!J42,'2.0 Exchange Variables'!$H$8:$K$12,MATCH(Complexity,ComplexityList,0)+1,FALSE))*LCat7+
VALUE(VLOOKUP('4.0 Activities'!K42,'2.0 Exchange Variables'!$H$8:$K$12,MATCH(Complexity,ComplexityList,0)+1,FALSE))*LCat8+
VALUE(VLOOKUP('4.0 Activities'!L42,'2.0 Exchange Variables'!$H$8:$K$12,MATCH(Complexity,ComplexityList,0)+1,FALSE))*LCat9+
VALUE(VLOOKUP('4.0 Activities'!M42,'2.0 Exchange Variables'!$H$8:$K$12,MATCH(Complexity,ComplexityList,0)+1,FALSE))*LCat10</f>
        <v>22962.800000000003</v>
      </c>
      <c r="F56" s="251">
        <f>VALUE(IF(NewConsumers&gt;0,E56*'4.0 Activities'!O42,))</f>
        <v>5740.7000000000007</v>
      </c>
      <c r="G56" s="251">
        <f>VALUE(IF(NewIEPDs&gt;0,E56*'4.0 Activities'!P42,0))</f>
        <v>0</v>
      </c>
      <c r="H56" s="266">
        <f>E56+F56*NewConsumers+G56*NewIEPDs</f>
        <v>28703.500000000004</v>
      </c>
    </row>
    <row r="57" spans="2:8" ht="12" customHeight="1" thickBot="1" x14ac:dyDescent="0.25">
      <c r="B57" s="52"/>
      <c r="C57" s="241"/>
      <c r="D57" s="237" t="s">
        <v>257</v>
      </c>
      <c r="E57" s="252">
        <f>SUM(E54:E56)</f>
        <v>76802.800000000017</v>
      </c>
      <c r="F57" s="252">
        <f>SUM(F54:F56)</f>
        <v>19200.700000000004</v>
      </c>
      <c r="G57" s="252">
        <f>SUM(G54:G56)</f>
        <v>0</v>
      </c>
      <c r="H57" s="272">
        <f>SUM(H54:H56)</f>
        <v>96003.500000000015</v>
      </c>
    </row>
    <row r="58" spans="2:8" ht="12" customHeight="1" x14ac:dyDescent="0.2">
      <c r="B58" s="52"/>
      <c r="C58" s="239"/>
      <c r="D58" s="203"/>
      <c r="E58" s="253"/>
      <c r="F58" s="253"/>
      <c r="G58" s="253"/>
      <c r="H58" s="273"/>
    </row>
    <row r="59" spans="2:8" ht="12" customHeight="1" x14ac:dyDescent="0.2">
      <c r="B59" s="233">
        <v>9</v>
      </c>
      <c r="C59" s="234" t="s">
        <v>178</v>
      </c>
      <c r="D59" s="50"/>
      <c r="E59" s="257"/>
      <c r="F59" s="257"/>
      <c r="G59" s="257"/>
      <c r="H59" s="271"/>
    </row>
    <row r="60" spans="2:8" ht="12" customHeight="1" x14ac:dyDescent="0.2">
      <c r="B60" s="52"/>
      <c r="C60" s="53">
        <v>9.1</v>
      </c>
      <c r="D60" s="54" t="s">
        <v>183</v>
      </c>
      <c r="E60" s="250">
        <f xml:space="preserve">
VALUE(VLOOKUP('4.0 Activities'!D44,'2.0 Exchange Variables'!$H$8:$K$12,MATCH(Complexity,ComplexityList,0)+1,FALSE))*LCat1+
VALUE(VLOOKUP('4.0 Activities'!E44,'2.0 Exchange Variables'!$H$8:$K$12,MATCH(Complexity,ComplexityList,0)+1,FALSE))*LCat2+
VALUE(VLOOKUP('4.0 Activities'!F44,'2.0 Exchange Variables'!$H$8:$K$12,MATCH(Complexity,ComplexityList,0)+1,FALSE))*LCat3+
VALUE(VLOOKUP('4.0 Activities'!G44,'2.0 Exchange Variables'!$H$8:$K$12,MATCH(Complexity,ComplexityList,0)+1,FALSE))*LCat4+
VALUE(VLOOKUP('4.0 Activities'!H44,'2.0 Exchange Variables'!$H$8:$K$12,MATCH(Complexity,ComplexityList,0)+1,FALSE))*LCat5+
VALUE(VLOOKUP('4.0 Activities'!I44,'2.0 Exchange Variables'!$H$8:$K$12,MATCH(Complexity,ComplexityList,0)+1,FALSE))*LCat6+
VALUE(VLOOKUP('4.0 Activities'!J44,'2.0 Exchange Variables'!$H$8:$K$12,MATCH(Complexity,ComplexityList,0)+1,FALSE))*LCat7+
VALUE(VLOOKUP('4.0 Activities'!K44,'2.0 Exchange Variables'!$H$8:$K$12,MATCH(Complexity,ComplexityList,0)+1,FALSE))*LCat8+
VALUE(VLOOKUP('4.0 Activities'!L44,'2.0 Exchange Variables'!$H$8:$K$12,MATCH(Complexity,ComplexityList,0)+1,FALSE))*LCat9+
VALUE(VLOOKUP('4.0 Activities'!M44,'2.0 Exchange Variables'!$H$8:$K$12,MATCH(Complexity,ComplexityList,0)+1,FALSE))*LCat10</f>
        <v>15171.36</v>
      </c>
      <c r="F60" s="250">
        <f>VALUE(IF(NewConsumers&gt;0,E60*'4.0 Activities'!O44,))</f>
        <v>11378.52</v>
      </c>
      <c r="G60" s="250">
        <f>VALUE(IF(NewIEPDs&gt;0,E60*'4.0 Activities'!P44,0))</f>
        <v>0</v>
      </c>
      <c r="H60" s="265">
        <f t="shared" ref="H60:H65" si="2">E60+F60*NewConsumers+G60*NewIEPDs</f>
        <v>26549.88</v>
      </c>
    </row>
    <row r="61" spans="2:8" ht="12" customHeight="1" x14ac:dyDescent="0.2">
      <c r="B61" s="52"/>
      <c r="C61" s="53">
        <v>9.1999999999999993</v>
      </c>
      <c r="D61" s="54" t="s">
        <v>238</v>
      </c>
      <c r="E61" s="250">
        <f xml:space="preserve">
VALUE(VLOOKUP('4.0 Activities'!D45,'2.0 Exchange Variables'!$H$8:$K$12,MATCH(Complexity,ComplexityList,0)+1,FALSE))*LCat1+
VALUE(VLOOKUP('4.0 Activities'!E45,'2.0 Exchange Variables'!$H$8:$K$12,MATCH(Complexity,ComplexityList,0)+1,FALSE))*LCat2+
VALUE(VLOOKUP('4.0 Activities'!F45,'2.0 Exchange Variables'!$H$8:$K$12,MATCH(Complexity,ComplexityList,0)+1,FALSE))*LCat3+
VALUE(VLOOKUP('4.0 Activities'!G45,'2.0 Exchange Variables'!$H$8:$K$12,MATCH(Complexity,ComplexityList,0)+1,FALSE))*LCat4+
VALUE(VLOOKUP('4.0 Activities'!H45,'2.0 Exchange Variables'!$H$8:$K$12,MATCH(Complexity,ComplexityList,0)+1,FALSE))*LCat5+
VALUE(VLOOKUP('4.0 Activities'!I45,'2.0 Exchange Variables'!$H$8:$K$12,MATCH(Complexity,ComplexityList,0)+1,FALSE))*LCat6+
VALUE(VLOOKUP('4.0 Activities'!J45,'2.0 Exchange Variables'!$H$8:$K$12,MATCH(Complexity,ComplexityList,0)+1,FALSE))*LCat7+
VALUE(VLOOKUP('4.0 Activities'!K45,'2.0 Exchange Variables'!$H$8:$K$12,MATCH(Complexity,ComplexityList,0)+1,FALSE))*LCat8+
VALUE(VLOOKUP('4.0 Activities'!L45,'2.0 Exchange Variables'!$H$8:$K$12,MATCH(Complexity,ComplexityList,0)+1,FALSE))*LCat9+
VALUE(VLOOKUP('4.0 Activities'!M45,'2.0 Exchange Variables'!$H$8:$K$12,MATCH(Complexity,ComplexityList,0)+1,FALSE))*LCat10</f>
        <v>15171.36</v>
      </c>
      <c r="F61" s="250">
        <f>VALUE(IF(NewConsumers&gt;0,E61*'4.0 Activities'!O45,))</f>
        <v>11378.52</v>
      </c>
      <c r="G61" s="250">
        <f>VALUE(IF(NewIEPDs&gt;0,E61*'4.0 Activities'!P45,0))</f>
        <v>0</v>
      </c>
      <c r="H61" s="265">
        <f t="shared" si="2"/>
        <v>26549.88</v>
      </c>
    </row>
    <row r="62" spans="2:8" ht="12" customHeight="1" x14ac:dyDescent="0.2">
      <c r="B62" s="52"/>
      <c r="C62" s="53">
        <v>9.3000000000000007</v>
      </c>
      <c r="D62" s="54" t="s">
        <v>184</v>
      </c>
      <c r="E62" s="250">
        <f xml:space="preserve">
VALUE(VLOOKUP('4.0 Activities'!D46,'2.0 Exchange Variables'!$H$8:$K$12,MATCH(Complexity,ComplexityList,0)+1,FALSE))*LCat1+
VALUE(VLOOKUP('4.0 Activities'!E46,'2.0 Exchange Variables'!$H$8:$K$12,MATCH(Complexity,ComplexityList,0)+1,FALSE))*LCat2+
VALUE(VLOOKUP('4.0 Activities'!F46,'2.0 Exchange Variables'!$H$8:$K$12,MATCH(Complexity,ComplexityList,0)+1,FALSE))*LCat3+
VALUE(VLOOKUP('4.0 Activities'!G46,'2.0 Exchange Variables'!$H$8:$K$12,MATCH(Complexity,ComplexityList,0)+1,FALSE))*LCat4+
VALUE(VLOOKUP('4.0 Activities'!H46,'2.0 Exchange Variables'!$H$8:$K$12,MATCH(Complexity,ComplexityList,0)+1,FALSE))*LCat5+
VALUE(VLOOKUP('4.0 Activities'!I46,'2.0 Exchange Variables'!$H$8:$K$12,MATCH(Complexity,ComplexityList,0)+1,FALSE))*LCat6+
VALUE(VLOOKUP('4.0 Activities'!J46,'2.0 Exchange Variables'!$H$8:$K$12,MATCH(Complexity,ComplexityList,0)+1,FALSE))*LCat7+
VALUE(VLOOKUP('4.0 Activities'!K46,'2.0 Exchange Variables'!$H$8:$K$12,MATCH(Complexity,ComplexityList,0)+1,FALSE))*LCat8+
VALUE(VLOOKUP('4.0 Activities'!L46,'2.0 Exchange Variables'!$H$8:$K$12,MATCH(Complexity,ComplexityList,0)+1,FALSE))*LCat9+
VALUE(VLOOKUP('4.0 Activities'!M46,'2.0 Exchange Variables'!$H$8:$K$12,MATCH(Complexity,ComplexityList,0)+1,FALSE))*LCat10</f>
        <v>15171.36</v>
      </c>
      <c r="F62" s="250">
        <f>VALUE(IF(NewConsumers&gt;0,E62*'4.0 Activities'!O46,))</f>
        <v>11378.52</v>
      </c>
      <c r="G62" s="250">
        <f>VALUE(IF(NewIEPDs&gt;0,E62*'4.0 Activities'!P46,0))</f>
        <v>0</v>
      </c>
      <c r="H62" s="265">
        <f t="shared" si="2"/>
        <v>26549.88</v>
      </c>
    </row>
    <row r="63" spans="2:8" ht="12" customHeight="1" x14ac:dyDescent="0.2">
      <c r="B63" s="52"/>
      <c r="C63" s="53">
        <v>9.4</v>
      </c>
      <c r="D63" s="54" t="s">
        <v>185</v>
      </c>
      <c r="E63" s="250">
        <f xml:space="preserve">
VALUE(VLOOKUP('4.0 Activities'!D47,'2.0 Exchange Variables'!$H$8:$K$12,MATCH(Complexity,ComplexityList,0)+1,FALSE))*LCat1+
VALUE(VLOOKUP('4.0 Activities'!E47,'2.0 Exchange Variables'!$H$8:$K$12,MATCH(Complexity,ComplexityList,0)+1,FALSE))*LCat2+
VALUE(VLOOKUP('4.0 Activities'!F47,'2.0 Exchange Variables'!$H$8:$K$12,MATCH(Complexity,ComplexityList,0)+1,FALSE))*LCat3+
VALUE(VLOOKUP('4.0 Activities'!G47,'2.0 Exchange Variables'!$H$8:$K$12,MATCH(Complexity,ComplexityList,0)+1,FALSE))*LCat4+
VALUE(VLOOKUP('4.0 Activities'!H47,'2.0 Exchange Variables'!$H$8:$K$12,MATCH(Complexity,ComplexityList,0)+1,FALSE))*LCat5+
VALUE(VLOOKUP('4.0 Activities'!I47,'2.0 Exchange Variables'!$H$8:$K$12,MATCH(Complexity,ComplexityList,0)+1,FALSE))*LCat6+
VALUE(VLOOKUP('4.0 Activities'!J47,'2.0 Exchange Variables'!$H$8:$K$12,MATCH(Complexity,ComplexityList,0)+1,FALSE))*LCat7+
VALUE(VLOOKUP('4.0 Activities'!K47,'2.0 Exchange Variables'!$H$8:$K$12,MATCH(Complexity,ComplexityList,0)+1,FALSE))*LCat8+
VALUE(VLOOKUP('4.0 Activities'!L47,'2.0 Exchange Variables'!$H$8:$K$12,MATCH(Complexity,ComplexityList,0)+1,FALSE))*LCat9+
VALUE(VLOOKUP('4.0 Activities'!M47,'2.0 Exchange Variables'!$H$8:$K$12,MATCH(Complexity,ComplexityList,0)+1,FALSE))*LCat10</f>
        <v>15171.36</v>
      </c>
      <c r="F63" s="250">
        <f>VALUE(IF(NewConsumers&gt;0,E63*'4.0 Activities'!O47,))</f>
        <v>7585.68</v>
      </c>
      <c r="G63" s="250">
        <f>VALUE(IF(NewIEPDs&gt;0,E63*'4.0 Activities'!P47,0))</f>
        <v>0</v>
      </c>
      <c r="H63" s="265">
        <f t="shared" si="2"/>
        <v>22757.040000000001</v>
      </c>
    </row>
    <row r="64" spans="2:8" ht="12" customHeight="1" x14ac:dyDescent="0.2">
      <c r="B64" s="52"/>
      <c r="C64" s="53">
        <v>9.5</v>
      </c>
      <c r="D64" s="54" t="s">
        <v>239</v>
      </c>
      <c r="E64" s="250">
        <f xml:space="preserve">
VALUE(VLOOKUP('4.0 Activities'!D48,'2.0 Exchange Variables'!$H$8:$K$12,MATCH(Complexity,ComplexityList,0)+1,FALSE))*LCat1+
VALUE(VLOOKUP('4.0 Activities'!E48,'2.0 Exchange Variables'!$H$8:$K$12,MATCH(Complexity,ComplexityList,0)+1,FALSE))*LCat2+
VALUE(VLOOKUP('4.0 Activities'!F48,'2.0 Exchange Variables'!$H$8:$K$12,MATCH(Complexity,ComplexityList,0)+1,FALSE))*LCat3+
VALUE(VLOOKUP('4.0 Activities'!G48,'2.0 Exchange Variables'!$H$8:$K$12,MATCH(Complexity,ComplexityList,0)+1,FALSE))*LCat4+
VALUE(VLOOKUP('4.0 Activities'!H48,'2.0 Exchange Variables'!$H$8:$K$12,MATCH(Complexity,ComplexityList,0)+1,FALSE))*LCat5+
VALUE(VLOOKUP('4.0 Activities'!I48,'2.0 Exchange Variables'!$H$8:$K$12,MATCH(Complexity,ComplexityList,0)+1,FALSE))*LCat6+
VALUE(VLOOKUP('4.0 Activities'!J48,'2.0 Exchange Variables'!$H$8:$K$12,MATCH(Complexity,ComplexityList,0)+1,FALSE))*LCat7+
VALUE(VLOOKUP('4.0 Activities'!K48,'2.0 Exchange Variables'!$H$8:$K$12,MATCH(Complexity,ComplexityList,0)+1,FALSE))*LCat8+
VALUE(VLOOKUP('4.0 Activities'!L48,'2.0 Exchange Variables'!$H$8:$K$12,MATCH(Complexity,ComplexityList,0)+1,FALSE))*LCat9+
VALUE(VLOOKUP('4.0 Activities'!M48,'2.0 Exchange Variables'!$H$8:$K$12,MATCH(Complexity,ComplexityList,0)+1,FALSE))*LCat10</f>
        <v>15171.36</v>
      </c>
      <c r="F64" s="250">
        <f>VALUE(IF(NewConsumers&gt;0,E64*'4.0 Activities'!O48,))</f>
        <v>7585.68</v>
      </c>
      <c r="G64" s="250">
        <f>VALUE(IF(NewIEPDs&gt;0,E64*'4.0 Activities'!P48,0))</f>
        <v>0</v>
      </c>
      <c r="H64" s="265">
        <f t="shared" si="2"/>
        <v>22757.040000000001</v>
      </c>
    </row>
    <row r="65" spans="2:8" ht="12" customHeight="1" x14ac:dyDescent="0.2">
      <c r="B65" s="52"/>
      <c r="C65" s="55">
        <v>9.6</v>
      </c>
      <c r="D65" s="56" t="s">
        <v>240</v>
      </c>
      <c r="E65" s="251">
        <f xml:space="preserve">
VALUE(VLOOKUP('4.0 Activities'!D49,'2.0 Exchange Variables'!$H$8:$K$12,MATCH(Complexity,ComplexityList,0)+1,FALSE))*LCat1+
VALUE(VLOOKUP('4.0 Activities'!E49,'2.0 Exchange Variables'!$H$8:$K$12,MATCH(Complexity,ComplexityList,0)+1,FALSE))*LCat2+
VALUE(VLOOKUP('4.0 Activities'!F49,'2.0 Exchange Variables'!$H$8:$K$12,MATCH(Complexity,ComplexityList,0)+1,FALSE))*LCat3+
VALUE(VLOOKUP('4.0 Activities'!G49,'2.0 Exchange Variables'!$H$8:$K$12,MATCH(Complexity,ComplexityList,0)+1,FALSE))*LCat4+
VALUE(VLOOKUP('4.0 Activities'!H49,'2.0 Exchange Variables'!$H$8:$K$12,MATCH(Complexity,ComplexityList,0)+1,FALSE))*LCat5+
VALUE(VLOOKUP('4.0 Activities'!I49,'2.0 Exchange Variables'!$H$8:$K$12,MATCH(Complexity,ComplexityList,0)+1,FALSE))*LCat6+
VALUE(VLOOKUP('4.0 Activities'!J49,'2.0 Exchange Variables'!$H$8:$K$12,MATCH(Complexity,ComplexityList,0)+1,FALSE))*LCat7+
VALUE(VLOOKUP('4.0 Activities'!K49,'2.0 Exchange Variables'!$H$8:$K$12,MATCH(Complexity,ComplexityList,0)+1,FALSE))*LCat8+
VALUE(VLOOKUP('4.0 Activities'!L49,'2.0 Exchange Variables'!$H$8:$K$12,MATCH(Complexity,ComplexityList,0)+1,FALSE))*LCat9+
VALUE(VLOOKUP('4.0 Activities'!M49,'2.0 Exchange Variables'!$H$8:$K$12,MATCH(Complexity,ComplexityList,0)+1,FALSE))*LCat10</f>
        <v>19171.36</v>
      </c>
      <c r="F65" s="251">
        <f>VALUE(IF(NewConsumers&gt;0,E65*'4.0 Activities'!O49,))</f>
        <v>9585.68</v>
      </c>
      <c r="G65" s="251">
        <f>VALUE(IF(NewIEPDs&gt;0,E65*'4.0 Activities'!P49,0))</f>
        <v>0</v>
      </c>
      <c r="H65" s="266">
        <f t="shared" si="2"/>
        <v>28757.040000000001</v>
      </c>
    </row>
    <row r="66" spans="2:8" ht="12" customHeight="1" thickBot="1" x14ac:dyDescent="0.25">
      <c r="B66" s="52"/>
      <c r="C66" s="241"/>
      <c r="D66" s="237" t="s">
        <v>257</v>
      </c>
      <c r="E66" s="252">
        <f>SUM(E60:E65)</f>
        <v>95028.160000000003</v>
      </c>
      <c r="F66" s="252">
        <f>SUM(F60:F65)</f>
        <v>58892.6</v>
      </c>
      <c r="G66" s="252">
        <f>SUM(G60:G65)</f>
        <v>0</v>
      </c>
      <c r="H66" s="272">
        <f>SUM(H60:H65)</f>
        <v>153920.76</v>
      </c>
    </row>
    <row r="67" spans="2:8" ht="12" customHeight="1" x14ac:dyDescent="0.2">
      <c r="B67" s="52"/>
      <c r="C67" s="239"/>
      <c r="D67" s="203"/>
      <c r="E67" s="253"/>
      <c r="F67" s="253"/>
      <c r="G67" s="253"/>
      <c r="H67" s="273"/>
    </row>
    <row r="68" spans="2:8" ht="12" customHeight="1" x14ac:dyDescent="0.2">
      <c r="B68" s="233">
        <v>10</v>
      </c>
      <c r="C68" s="234" t="s">
        <v>179</v>
      </c>
      <c r="D68" s="50"/>
      <c r="E68" s="257"/>
      <c r="F68" s="257"/>
      <c r="G68" s="257"/>
      <c r="H68" s="271"/>
    </row>
    <row r="69" spans="2:8" ht="12" customHeight="1" x14ac:dyDescent="0.2">
      <c r="B69" s="52"/>
      <c r="C69" s="53">
        <v>10.1</v>
      </c>
      <c r="D69" s="54" t="s">
        <v>180</v>
      </c>
      <c r="E69" s="250">
        <f xml:space="preserve">
VALUE(VLOOKUP('4.0 Activities'!D51,'2.0 Exchange Variables'!$H$8:$K$12,MATCH(Complexity,ComplexityList,0)+1,FALSE))*LCat1+
VALUE(VLOOKUP('4.0 Activities'!E51,'2.0 Exchange Variables'!$H$8:$K$12,MATCH(Complexity,ComplexityList,0)+1,FALSE))*LCat2+
VALUE(VLOOKUP('4.0 Activities'!F51,'2.0 Exchange Variables'!$H$8:$K$12,MATCH(Complexity,ComplexityList,0)+1,FALSE))*LCat3+
VALUE(VLOOKUP('4.0 Activities'!G51,'2.0 Exchange Variables'!$H$8:$K$12,MATCH(Complexity,ComplexityList,0)+1,FALSE))*LCat4+
VALUE(VLOOKUP('4.0 Activities'!H51,'2.0 Exchange Variables'!$H$8:$K$12,MATCH(Complexity,ComplexityList,0)+1,FALSE))*LCat5+
VALUE(VLOOKUP('4.0 Activities'!I51,'2.0 Exchange Variables'!$H$8:$K$12,MATCH(Complexity,ComplexityList,0)+1,FALSE))*LCat6+
VALUE(VLOOKUP('4.0 Activities'!J51,'2.0 Exchange Variables'!$H$8:$K$12,MATCH(Complexity,ComplexityList,0)+1,FALSE))*LCat7+
VALUE(VLOOKUP('4.0 Activities'!K51,'2.0 Exchange Variables'!$H$8:$K$12,MATCH(Complexity,ComplexityList,0)+1,FALSE))*LCat8+
VALUE(VLOOKUP('4.0 Activities'!L51,'2.0 Exchange Variables'!$H$8:$K$12,MATCH(Complexity,ComplexityList,0)+1,FALSE))*LCat9+
VALUE(VLOOKUP('4.0 Activities'!M51,'2.0 Exchange Variables'!$H$8:$K$12,MATCH(Complexity,ComplexityList,0)+1,FALSE))*LCat10</f>
        <v>8522.4</v>
      </c>
      <c r="F69" s="250">
        <f>VALUE(IF(NewConsumers&gt;0,E69*'4.0 Activities'!O51,))</f>
        <v>0</v>
      </c>
      <c r="G69" s="250">
        <f>VALUE(IF(NewIEPDs&gt;0,E69*'4.0 Activities'!P51,0))</f>
        <v>0</v>
      </c>
      <c r="H69" s="265">
        <f>E69+F69*NewConsumers+G69*NewIEPDs</f>
        <v>8522.4</v>
      </c>
    </row>
    <row r="70" spans="2:8" ht="12" customHeight="1" x14ac:dyDescent="0.2">
      <c r="B70" s="52"/>
      <c r="C70" s="53">
        <v>10.199999999999999</v>
      </c>
      <c r="D70" s="54" t="s">
        <v>181</v>
      </c>
      <c r="E70" s="250">
        <f xml:space="preserve">
VALUE(VLOOKUP('4.0 Activities'!D52,'2.0 Exchange Variables'!$H$8:$K$12,MATCH(Complexity,ComplexityList,0)+1,FALSE))*LCat1+
VALUE(VLOOKUP('4.0 Activities'!E52,'2.0 Exchange Variables'!$H$8:$K$12,MATCH(Complexity,ComplexityList,0)+1,FALSE))*LCat2+
VALUE(VLOOKUP('4.0 Activities'!F52,'2.0 Exchange Variables'!$H$8:$K$12,MATCH(Complexity,ComplexityList,0)+1,FALSE))*LCat3+
VALUE(VLOOKUP('4.0 Activities'!G52,'2.0 Exchange Variables'!$H$8:$K$12,MATCH(Complexity,ComplexityList,0)+1,FALSE))*LCat4+
VALUE(VLOOKUP('4.0 Activities'!H52,'2.0 Exchange Variables'!$H$8:$K$12,MATCH(Complexity,ComplexityList,0)+1,FALSE))*LCat5+
VALUE(VLOOKUP('4.0 Activities'!I52,'2.0 Exchange Variables'!$H$8:$K$12,MATCH(Complexity,ComplexityList,0)+1,FALSE))*LCat6+
VALUE(VLOOKUP('4.0 Activities'!J52,'2.0 Exchange Variables'!$H$8:$K$12,MATCH(Complexity,ComplexityList,0)+1,FALSE))*LCat7+
VALUE(VLOOKUP('4.0 Activities'!K52,'2.0 Exchange Variables'!$H$8:$K$12,MATCH(Complexity,ComplexityList,0)+1,FALSE))*LCat8+
VALUE(VLOOKUP('4.0 Activities'!L52,'2.0 Exchange Variables'!$H$8:$K$12,MATCH(Complexity,ComplexityList,0)+1,FALSE))*LCat9+
VALUE(VLOOKUP('4.0 Activities'!M52,'2.0 Exchange Variables'!$H$8:$K$12,MATCH(Complexity,ComplexityList,0)+1,FALSE))*LCat10</f>
        <v>8522.4</v>
      </c>
      <c r="F70" s="250">
        <f>VALUE(IF(NewConsumers&gt;0,E70*'4.0 Activities'!O52,))</f>
        <v>0</v>
      </c>
      <c r="G70" s="250">
        <f>VALUE(IF(NewIEPDs&gt;0,E70*'4.0 Activities'!P52,0))</f>
        <v>0</v>
      </c>
      <c r="H70" s="265">
        <f>E70+F70*NewConsumers+G70*NewIEPDs</f>
        <v>8522.4</v>
      </c>
    </row>
    <row r="71" spans="2:8" ht="12" customHeight="1" x14ac:dyDescent="0.2">
      <c r="B71" s="52"/>
      <c r="C71" s="55">
        <v>10.3</v>
      </c>
      <c r="D71" s="56" t="s">
        <v>182</v>
      </c>
      <c r="E71" s="251">
        <f xml:space="preserve">
VALUE(VLOOKUP('4.0 Activities'!D53,'2.0 Exchange Variables'!$H$8:$K$12,MATCH(Complexity,ComplexityList,0)+1,FALSE))*LCat1+
VALUE(VLOOKUP('4.0 Activities'!E53,'2.0 Exchange Variables'!$H$8:$K$12,MATCH(Complexity,ComplexityList,0)+1,FALSE))*LCat2+
VALUE(VLOOKUP('4.0 Activities'!F53,'2.0 Exchange Variables'!$H$8:$K$12,MATCH(Complexity,ComplexityList,0)+1,FALSE))*LCat3+
VALUE(VLOOKUP('4.0 Activities'!G53,'2.0 Exchange Variables'!$H$8:$K$12,MATCH(Complexity,ComplexityList,0)+1,FALSE))*LCat4+
VALUE(VLOOKUP('4.0 Activities'!H53,'2.0 Exchange Variables'!$H$8:$K$12,MATCH(Complexity,ComplexityList,0)+1,FALSE))*LCat5+
VALUE(VLOOKUP('4.0 Activities'!I53,'2.0 Exchange Variables'!$H$8:$K$12,MATCH(Complexity,ComplexityList,0)+1,FALSE))*LCat6+
VALUE(VLOOKUP('4.0 Activities'!J53,'2.0 Exchange Variables'!$H$8:$K$12,MATCH(Complexity,ComplexityList,0)+1,FALSE))*LCat7+
VALUE(VLOOKUP('4.0 Activities'!K53,'2.0 Exchange Variables'!$H$8:$K$12,MATCH(Complexity,ComplexityList,0)+1,FALSE))*LCat8+
VALUE(VLOOKUP('4.0 Activities'!L53,'2.0 Exchange Variables'!$H$8:$K$12,MATCH(Complexity,ComplexityList,0)+1,FALSE))*LCat9+
VALUE(VLOOKUP('4.0 Activities'!M53,'2.0 Exchange Variables'!$H$8:$K$12,MATCH(Complexity,ComplexityList,0)+1,FALSE))*LCat10</f>
        <v>8522.4</v>
      </c>
      <c r="F71" s="251">
        <f>VALUE(IF(NewConsumers&gt;0,E71*'4.0 Activities'!O53,))</f>
        <v>0</v>
      </c>
      <c r="G71" s="251">
        <f>VALUE(IF(NewIEPDs&gt;0,E71*'4.0 Activities'!P53,0))</f>
        <v>0</v>
      </c>
      <c r="H71" s="266">
        <f>E71+F71*NewConsumers+G71*NewIEPDs</f>
        <v>8522.4</v>
      </c>
    </row>
    <row r="72" spans="2:8" ht="12" customHeight="1" thickBot="1" x14ac:dyDescent="0.25">
      <c r="B72" s="52"/>
      <c r="C72" s="241"/>
      <c r="D72" s="237" t="s">
        <v>257</v>
      </c>
      <c r="E72" s="252">
        <f>SUM(E69:E71)</f>
        <v>25567.199999999997</v>
      </c>
      <c r="F72" s="252">
        <f>SUM(F69:F71)</f>
        <v>0</v>
      </c>
      <c r="G72" s="252">
        <f>SUM(G69:G71)</f>
        <v>0</v>
      </c>
      <c r="H72" s="267">
        <f>SUM(H69:H71)</f>
        <v>25567.199999999997</v>
      </c>
    </row>
    <row r="73" spans="2:8" ht="12" customHeight="1" x14ac:dyDescent="0.2">
      <c r="B73" s="52"/>
      <c r="C73" s="239"/>
      <c r="D73" s="203"/>
      <c r="E73" s="253"/>
      <c r="F73" s="253"/>
      <c r="G73" s="253"/>
      <c r="H73" s="268"/>
    </row>
    <row r="74" spans="2:8" ht="12" customHeight="1" thickBot="1" x14ac:dyDescent="0.25">
      <c r="B74" s="274" t="s">
        <v>298</v>
      </c>
      <c r="C74" s="276"/>
      <c r="D74" s="275"/>
      <c r="E74" s="277">
        <f>SUM($E$14,$E$19,$E$24,$E$33,$E$38,$E$42,$E$51,$E$57,$E$66,$E$72)</f>
        <v>684776.08000000007</v>
      </c>
      <c r="F74" s="277">
        <f>SUM($F$14,$F$19,$F$24,$F$33,$F$38,$F$42,$F$51,$F$57,$F$66,$F$72)</f>
        <v>171125.54</v>
      </c>
      <c r="G74" s="277">
        <f>SUM($G$14,$G$19,$G$24,$G$33,$G$38,$G$42,$G$51,$G$57,$G$66,$G$72)</f>
        <v>0</v>
      </c>
      <c r="H74" s="278">
        <f>SUM($H$14,$H$19,$H$24,$H$33,$H$38,$H$42,$H$51,$H$57,$H$66,$H$72)</f>
        <v>855901.62</v>
      </c>
    </row>
    <row r="75" spans="2:8" ht="12" customHeight="1" thickTop="1" thickBot="1" x14ac:dyDescent="0.25">
      <c r="B75" s="65"/>
      <c r="C75" s="61"/>
      <c r="D75" s="62"/>
      <c r="E75" s="298"/>
      <c r="F75" s="298"/>
      <c r="G75" s="298"/>
      <c r="H75" s="299"/>
    </row>
    <row r="76" spans="2:8" ht="12" customHeight="1" thickBot="1" x14ac:dyDescent="0.25">
      <c r="C76" s="53"/>
      <c r="D76" s="203"/>
      <c r="E76" s="295"/>
      <c r="F76" s="295"/>
      <c r="G76" s="295"/>
      <c r="H76" s="295"/>
    </row>
    <row r="77" spans="2:8" ht="12" customHeight="1" x14ac:dyDescent="0.2">
      <c r="B77" s="46" t="s">
        <v>196</v>
      </c>
      <c r="C77" s="63"/>
      <c r="D77" s="47"/>
      <c r="E77" s="258"/>
      <c r="F77" s="258"/>
      <c r="G77" s="258"/>
      <c r="H77" s="283"/>
    </row>
    <row r="78" spans="2:8" ht="12" customHeight="1" x14ac:dyDescent="0.2">
      <c r="B78" s="64"/>
      <c r="C78" s="53"/>
      <c r="D78" s="54" t="str">
        <f>'3.0 Cost Variables'!B23</f>
        <v>Hardware Cost</v>
      </c>
      <c r="E78" s="250">
        <f>'3.0 Cost Variables'!C23</f>
        <v>0</v>
      </c>
      <c r="F78" s="250">
        <v>0</v>
      </c>
      <c r="G78" s="250">
        <v>0</v>
      </c>
      <c r="H78" s="265">
        <f>SUM(E78:G78)</f>
        <v>0</v>
      </c>
    </row>
    <row r="79" spans="2:8" ht="12" customHeight="1" x14ac:dyDescent="0.2">
      <c r="B79" s="64"/>
      <c r="C79" s="53"/>
      <c r="D79" s="54" t="str">
        <f>'3.0 Cost Variables'!B24</f>
        <v>Software Cost</v>
      </c>
      <c r="E79" s="250">
        <f>'3.0 Cost Variables'!C24</f>
        <v>0</v>
      </c>
      <c r="F79" s="250">
        <v>0</v>
      </c>
      <c r="G79" s="250">
        <v>0</v>
      </c>
      <c r="H79" s="265">
        <f>SUM(E79:G79)</f>
        <v>0</v>
      </c>
    </row>
    <row r="80" spans="2:8" ht="12" customHeight="1" x14ac:dyDescent="0.2">
      <c r="B80" s="64"/>
      <c r="C80" s="55"/>
      <c r="D80" s="56" t="s">
        <v>117</v>
      </c>
      <c r="E80" s="251">
        <f>Training</f>
        <v>6700</v>
      </c>
      <c r="F80" s="251">
        <v>0</v>
      </c>
      <c r="G80" s="251">
        <v>0</v>
      </c>
      <c r="H80" s="266">
        <f>SUM(E80:G80)</f>
        <v>6700</v>
      </c>
    </row>
    <row r="81" spans="2:8" ht="12" customHeight="1" thickBot="1" x14ac:dyDescent="0.25">
      <c r="B81" s="279"/>
      <c r="C81" s="280"/>
      <c r="D81" s="237" t="s">
        <v>257</v>
      </c>
      <c r="E81" s="262">
        <f>SUM(E78:E80)</f>
        <v>6700</v>
      </c>
      <c r="F81" s="282">
        <f t="shared" ref="F81:H81" si="3">SUM(F78:F80)</f>
        <v>0</v>
      </c>
      <c r="G81" s="262">
        <f t="shared" si="3"/>
        <v>0</v>
      </c>
      <c r="H81" s="272">
        <f t="shared" si="3"/>
        <v>6700</v>
      </c>
    </row>
    <row r="82" spans="2:8" ht="12" customHeight="1" thickBot="1" x14ac:dyDescent="0.25">
      <c r="B82" s="284"/>
      <c r="C82" s="281"/>
      <c r="D82" s="62"/>
      <c r="E82" s="286"/>
      <c r="F82" s="285"/>
      <c r="G82" s="286"/>
      <c r="H82" s="287"/>
    </row>
    <row r="83" spans="2:8" ht="12" customHeight="1" thickBot="1" x14ac:dyDescent="0.25">
      <c r="E83" s="294"/>
      <c r="F83" s="294"/>
      <c r="G83" s="294"/>
      <c r="H83" s="294"/>
    </row>
    <row r="84" spans="2:8" ht="12" customHeight="1" x14ac:dyDescent="0.2">
      <c r="B84" s="46" t="s">
        <v>108</v>
      </c>
      <c r="C84" s="47"/>
      <c r="D84" s="48"/>
      <c r="E84" s="248"/>
      <c r="F84" s="248"/>
      <c r="G84" s="248"/>
      <c r="H84" s="263"/>
    </row>
    <row r="85" spans="2:8" ht="12" customHeight="1" x14ac:dyDescent="0.2">
      <c r="B85" s="52"/>
      <c r="D85" s="54" t="str">
        <f>IF(ExistingIEPD= "YES", "There is an existing IEPD","There is not and existing IEPD")</f>
        <v>There is not and existing IEPD</v>
      </c>
      <c r="E85" s="250">
        <f>VALUE(IF(ExistingIEPD="YES",SUM(E18,E22,E27:E28,E30)*-1,0))</f>
        <v>0</v>
      </c>
      <c r="F85" s="250">
        <f>VALUE(IF(ExistingIEPD="YES",SUM(F18,F22,F27:F28,F30)*-1,0))</f>
        <v>0</v>
      </c>
      <c r="G85" s="250">
        <f>VALUE(IF(ExistingIEPD="YES",SUM(G18,G22,G27:G28,G30)*-1,0))</f>
        <v>0</v>
      </c>
      <c r="H85" s="265">
        <f>SUM(E85:G85)</f>
        <v>0</v>
      </c>
    </row>
    <row r="86" spans="2:8" ht="12" customHeight="1" x14ac:dyDescent="0.2">
      <c r="B86" s="52"/>
      <c r="D86" s="74" t="str">
        <f xml:space="preserve"> "Adjustment because " &amp; Overlap</f>
        <v>Adjustment because Some (&lt;50%) Elements Already Exist in NIEM</v>
      </c>
      <c r="E86" s="250">
        <f>VLOOKUP(Overlap,'2.0 Exchange Variables'!$A$18:$B$21,2,FALSE)*(E29+E23)</f>
        <v>-8941.0400000000009</v>
      </c>
      <c r="F86" s="250">
        <f>VLOOKUP(Overlap,'2.0 Exchange Variables'!$A$18:$B$21,2,FALSE)*(F29+F23)</f>
        <v>-2235.2600000000002</v>
      </c>
      <c r="G86" s="250">
        <f>VLOOKUP(Overlap,'2.0 Exchange Variables'!$A$18:$B$21,2,FALSE)*(G29+G23)</f>
        <v>0</v>
      </c>
      <c r="H86" s="265">
        <f>SUM(E86:G86)</f>
        <v>-11176.300000000001</v>
      </c>
    </row>
    <row r="87" spans="2:8" ht="12" customHeight="1" x14ac:dyDescent="0.2">
      <c r="B87" s="52"/>
      <c r="C87" s="56"/>
      <c r="D87" s="66" t="s">
        <v>265</v>
      </c>
      <c r="E87" s="251">
        <f>IF((E74+E81)&gt;0,('3.0 Cost Variables'!C37)*-1,0)</f>
        <v>0</v>
      </c>
      <c r="F87" s="251">
        <f>IF((F74+F81)&gt;0,(VALUE(IF(NewConsumers&gt;0,E87*NewConsumers,))),0)</f>
        <v>0</v>
      </c>
      <c r="G87" s="251">
        <f>IF((G74+G81)&gt;0,(VALUE(IF(NewIEPDs&gt;0,E87*NewIEPDs,0))),0)</f>
        <v>0</v>
      </c>
      <c r="H87" s="266">
        <f>SUM(E87:G87)</f>
        <v>0</v>
      </c>
    </row>
    <row r="88" spans="2:8" ht="12" customHeight="1" thickBot="1" x14ac:dyDescent="0.25">
      <c r="B88" s="279"/>
      <c r="C88" s="280"/>
      <c r="D88" s="237" t="s">
        <v>257</v>
      </c>
      <c r="E88" s="262">
        <f>SUM(E85:E87)</f>
        <v>-8941.0400000000009</v>
      </c>
      <c r="F88" s="282">
        <f t="shared" ref="F88:H88" si="4">SUM(F85:F87)</f>
        <v>-2235.2600000000002</v>
      </c>
      <c r="G88" s="262">
        <f t="shared" si="4"/>
        <v>0</v>
      </c>
      <c r="H88" s="272">
        <f t="shared" si="4"/>
        <v>-11176.300000000001</v>
      </c>
    </row>
    <row r="89" spans="2:8" ht="12" customHeight="1" thickBot="1" x14ac:dyDescent="0.25">
      <c r="B89" s="284"/>
      <c r="C89" s="281"/>
      <c r="D89" s="291"/>
      <c r="E89" s="292"/>
      <c r="F89" s="288"/>
      <c r="G89" s="289"/>
      <c r="H89" s="290"/>
    </row>
    <row r="90" spans="2:8" ht="12" customHeight="1" thickBot="1" x14ac:dyDescent="0.25">
      <c r="E90" s="68"/>
      <c r="F90" s="68"/>
      <c r="G90" s="68"/>
      <c r="H90" s="68"/>
    </row>
    <row r="91" spans="2:8" ht="12" customHeight="1" thickBot="1" x14ac:dyDescent="0.25">
      <c r="B91" s="67" t="s">
        <v>119</v>
      </c>
      <c r="C91" s="68"/>
      <c r="D91" s="68"/>
      <c r="E91" s="259">
        <f>SUM(E$88,E$81,E$74)</f>
        <v>682535.04</v>
      </c>
      <c r="F91" s="259">
        <f t="shared" ref="F91:H91" si="5">SUM(F$88,F$81,F$74)</f>
        <v>168890.28</v>
      </c>
      <c r="G91" s="259">
        <f t="shared" si="5"/>
        <v>0</v>
      </c>
      <c r="H91" s="259">
        <f t="shared" si="5"/>
        <v>851425.32</v>
      </c>
    </row>
    <row r="92" spans="2:8" ht="12" customHeight="1" x14ac:dyDescent="0.2"/>
    <row r="93" spans="2:8" ht="12" customHeight="1" x14ac:dyDescent="0.2"/>
  </sheetData>
  <mergeCells count="4">
    <mergeCell ref="A7:C7"/>
    <mergeCell ref="E7:H7"/>
    <mergeCell ref="A1:XFD1"/>
    <mergeCell ref="A5:D5"/>
  </mergeCells>
  <hyperlinks>
    <hyperlink ref="A5" location="Overview!A1" display="Overview"/>
  </hyperlinks>
  <pageMargins left="0.5" right="0.5" top="1" bottom="1" header="0.5" footer="0.5"/>
  <pageSetup paperSize="5" scale="76" fitToHeight="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FFCC00"/>
    <pageSetUpPr fitToPage="1"/>
  </sheetPr>
  <dimension ref="A1:I93"/>
  <sheetViews>
    <sheetView showGridLines="0" zoomScale="85" zoomScaleNormal="85" zoomScalePageLayoutView="85" workbookViewId="0">
      <pane ySplit="8" topLeftCell="A55" activePane="bottomLeft" state="frozen"/>
      <selection activeCell="E9" sqref="E9:H93"/>
      <selection pane="bottomLeft" activeCell="A2" sqref="A2"/>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7" width="20" style="54" customWidth="1"/>
    <col min="8" max="8" width="24.7109375" style="54" customWidth="1"/>
    <col min="9" max="16384" width="8.85546875" style="54"/>
  </cols>
  <sheetData>
    <row r="1" spans="1:9" s="395" customFormat="1" ht="51.75" customHeight="1" x14ac:dyDescent="0.5"/>
    <row r="2" spans="1:9" s="118" customFormat="1" ht="16.5" customHeight="1" x14ac:dyDescent="0.5">
      <c r="A2" s="121" t="s">
        <v>358</v>
      </c>
      <c r="B2" s="120"/>
    </row>
    <row r="3" spans="1:9" s="119" customFormat="1" ht="19.5" customHeight="1" x14ac:dyDescent="0.5">
      <c r="A3" s="122" t="s">
        <v>297</v>
      </c>
    </row>
    <row r="4" spans="1:9" s="296" customFormat="1" ht="9" customHeight="1" x14ac:dyDescent="0.35"/>
    <row r="5" spans="1:9" s="297" customFormat="1" ht="12" customHeight="1" x14ac:dyDescent="0.2">
      <c r="A5" s="411" t="s">
        <v>194</v>
      </c>
      <c r="B5" s="411"/>
      <c r="C5" s="411"/>
      <c r="D5" s="411"/>
    </row>
    <row r="6" spans="1:9" s="297" customFormat="1" ht="10.5" customHeight="1" thickBot="1" x14ac:dyDescent="0.25">
      <c r="A6" s="74"/>
      <c r="B6" s="74"/>
      <c r="C6" s="74"/>
      <c r="D6" s="74"/>
    </row>
    <row r="7" spans="1:9" ht="12" customHeight="1" x14ac:dyDescent="0.2">
      <c r="A7" s="454"/>
      <c r="B7" s="454"/>
      <c r="C7" s="454"/>
      <c r="D7" s="74"/>
      <c r="E7" s="455" t="s">
        <v>112</v>
      </c>
      <c r="F7" s="456"/>
      <c r="G7" s="456"/>
      <c r="H7" s="457"/>
      <c r="I7" s="314"/>
    </row>
    <row r="8" spans="1:9" ht="39" thickBot="1" x14ac:dyDescent="0.25">
      <c r="E8" s="319" t="s">
        <v>268</v>
      </c>
      <c r="F8" s="247" t="s">
        <v>114</v>
      </c>
      <c r="G8" s="247" t="s">
        <v>115</v>
      </c>
      <c r="H8" s="306" t="str">
        <f>"Total Cost to build " &amp; NewIEPDs1 &amp; " NIEM exchanges and reuse " &amp; NewConsumers1 &amp; " NIEM exchanges"</f>
        <v>Total Cost to build 0 NIEM exchanges and reuse 3 NIEM exchanges</v>
      </c>
    </row>
    <row r="9" spans="1:9" ht="12" customHeight="1" x14ac:dyDescent="0.2">
      <c r="B9" s="46" t="s">
        <v>301</v>
      </c>
      <c r="C9" s="47"/>
      <c r="D9" s="48"/>
      <c r="E9" s="248"/>
      <c r="F9" s="248"/>
      <c r="G9" s="248"/>
      <c r="H9" s="49"/>
    </row>
    <row r="10" spans="1:9" ht="12" customHeight="1" x14ac:dyDescent="0.2">
      <c r="B10" s="233">
        <v>1</v>
      </c>
      <c r="C10" s="234" t="s">
        <v>12</v>
      </c>
      <c r="D10" s="235"/>
      <c r="E10" s="254"/>
      <c r="F10" s="249"/>
      <c r="G10" s="260"/>
      <c r="H10" s="51"/>
    </row>
    <row r="11" spans="1:9" ht="12" customHeight="1" x14ac:dyDescent="0.2">
      <c r="B11" s="52"/>
      <c r="C11" s="53">
        <v>1.1000000000000001</v>
      </c>
      <c r="D11" s="54" t="s">
        <v>68</v>
      </c>
      <c r="E11" s="300">
        <f>'5.1 Base YR'!E11</f>
        <v>23414.800000000003</v>
      </c>
      <c r="F11" s="250">
        <f>VALUE(IF(NewConsumers1&gt;0,E11*'4.0 Activities'!O11,))</f>
        <v>11707.400000000001</v>
      </c>
      <c r="G11" s="250">
        <f>VALUE(IF(NewIEPDs1&gt;0,E11*'4.0 Activities'!P11,0))</f>
        <v>0</v>
      </c>
      <c r="H11" s="199">
        <f>F11*NewConsumers1+G11*NewIEPDs1</f>
        <v>35122.200000000004</v>
      </c>
    </row>
    <row r="12" spans="1:9" ht="12" customHeight="1" x14ac:dyDescent="0.2">
      <c r="B12" s="52"/>
      <c r="C12" s="53">
        <v>1.2</v>
      </c>
      <c r="D12" s="54" t="s">
        <v>71</v>
      </c>
      <c r="E12" s="300">
        <f>'5.1 Base YR'!E12</f>
        <v>55053.600000000006</v>
      </c>
      <c r="F12" s="250">
        <f>VALUE(IF(NewConsumers1&gt;0,E12*'4.0 Activities'!O12,))</f>
        <v>13763.400000000001</v>
      </c>
      <c r="G12" s="250">
        <f>VALUE(IF(NewIEPDs1&gt;0,E12*'4.0 Activities'!P12,0))</f>
        <v>0</v>
      </c>
      <c r="H12" s="199">
        <f>F12*NewConsumers1+G12*NewIEPDs1</f>
        <v>41290.200000000004</v>
      </c>
    </row>
    <row r="13" spans="1:9" ht="12" customHeight="1" x14ac:dyDescent="0.2">
      <c r="B13" s="52"/>
      <c r="C13" s="55">
        <v>1.3</v>
      </c>
      <c r="D13" s="56" t="s">
        <v>73</v>
      </c>
      <c r="E13" s="301">
        <f>'5.1 Base YR'!E13</f>
        <v>27725.200000000001</v>
      </c>
      <c r="F13" s="251">
        <f>VALUE(IF(NewConsumers1&gt;0,E13*'4.0 Activities'!O13,0))</f>
        <v>0</v>
      </c>
      <c r="G13" s="251">
        <f>VALUE(IF(NewIEPDs1&gt;0,E13*'4.0 Activities'!P13,0))</f>
        <v>0</v>
      </c>
      <c r="H13" s="200">
        <f>F13*NewConsumers1+G13*NewIEPDs1</f>
        <v>0</v>
      </c>
    </row>
    <row r="14" spans="1:9" ht="12" customHeight="1" thickBot="1" x14ac:dyDescent="0.25">
      <c r="B14" s="52"/>
      <c r="C14" s="236"/>
      <c r="D14" s="237" t="s">
        <v>257</v>
      </c>
      <c r="E14" s="302">
        <f>SUM(E11:E13)</f>
        <v>106193.60000000001</v>
      </c>
      <c r="F14" s="252">
        <f>SUM(F11:F13)</f>
        <v>25470.800000000003</v>
      </c>
      <c r="G14" s="252">
        <f>SUM(G11:G13)</f>
        <v>0</v>
      </c>
      <c r="H14" s="238">
        <f>SUM(H11:H13)</f>
        <v>76412.400000000009</v>
      </c>
    </row>
    <row r="15" spans="1:9" ht="12" customHeight="1" x14ac:dyDescent="0.2">
      <c r="B15" s="52"/>
      <c r="C15" s="53"/>
      <c r="D15" s="203"/>
      <c r="E15" s="253"/>
      <c r="F15" s="253"/>
      <c r="G15" s="253"/>
      <c r="H15" s="204"/>
    </row>
    <row r="16" spans="1:9" ht="12" customHeight="1" x14ac:dyDescent="0.2">
      <c r="B16" s="233">
        <v>2</v>
      </c>
      <c r="C16" s="234" t="s">
        <v>13</v>
      </c>
      <c r="D16" s="50"/>
      <c r="E16" s="254"/>
      <c r="F16" s="254"/>
      <c r="G16" s="254"/>
      <c r="H16" s="51"/>
    </row>
    <row r="17" spans="2:8" ht="12" customHeight="1" x14ac:dyDescent="0.2">
      <c r="B17" s="52"/>
      <c r="C17" s="53">
        <v>2.1</v>
      </c>
      <c r="D17" s="54" t="s">
        <v>74</v>
      </c>
      <c r="E17" s="300">
        <f>'5.1 Base YR'!E17</f>
        <v>56365.2</v>
      </c>
      <c r="F17" s="250">
        <f>VALUE(IF(NewConsumers&gt;0,E17*'4.0 Activities'!O15,))</f>
        <v>0</v>
      </c>
      <c r="G17" s="250">
        <f>VALUE(IF(NewIEPDs1&gt;0,E17*'4.0 Activities'!P15,0))</f>
        <v>0</v>
      </c>
      <c r="H17" s="199">
        <f>F17*NewConsumers1+G17*NewIEPDs1</f>
        <v>0</v>
      </c>
    </row>
    <row r="18" spans="2:8" ht="12" customHeight="1" x14ac:dyDescent="0.2">
      <c r="B18" s="52"/>
      <c r="C18" s="55">
        <v>2.2000000000000002</v>
      </c>
      <c r="D18" s="56" t="s">
        <v>75</v>
      </c>
      <c r="E18" s="301">
        <f>'5.1 Base YR'!E18</f>
        <v>28104.800000000003</v>
      </c>
      <c r="F18" s="251">
        <f>VALUE(IF(NewConsumers&gt;0,E18*'4.0 Activities'!O16,))</f>
        <v>0</v>
      </c>
      <c r="G18" s="251">
        <f>VALUE(IF(NewIEPDs1&gt;0,E18*'4.0 Activities'!P16,0))</f>
        <v>0</v>
      </c>
      <c r="H18" s="200">
        <f>F18*NewConsumers1+G18*NewIEPDs1</f>
        <v>0</v>
      </c>
    </row>
    <row r="19" spans="2:8" ht="12" customHeight="1" thickBot="1" x14ac:dyDescent="0.25">
      <c r="B19" s="52"/>
      <c r="C19" s="241"/>
      <c r="D19" s="237" t="s">
        <v>257</v>
      </c>
      <c r="E19" s="303">
        <f>SUM(E17:E18)</f>
        <v>84470</v>
      </c>
      <c r="F19" s="255">
        <f>SUM(F17:F18)</f>
        <v>0</v>
      </c>
      <c r="G19" s="255">
        <f>SUM(G17:G18)</f>
        <v>0</v>
      </c>
      <c r="H19" s="242">
        <f>SUM(H17:H18)</f>
        <v>0</v>
      </c>
    </row>
    <row r="20" spans="2:8" ht="12" customHeight="1" x14ac:dyDescent="0.2">
      <c r="B20" s="52"/>
      <c r="C20" s="239"/>
      <c r="D20" s="203"/>
      <c r="E20" s="305"/>
      <c r="F20" s="305"/>
      <c r="G20" s="305"/>
      <c r="H20" s="240"/>
    </row>
    <row r="21" spans="2:8" ht="12" customHeight="1" x14ac:dyDescent="0.2">
      <c r="B21" s="233">
        <v>3</v>
      </c>
      <c r="C21" s="234" t="s">
        <v>77</v>
      </c>
      <c r="D21" s="50"/>
      <c r="E21" s="254"/>
      <c r="F21" s="254"/>
      <c r="G21" s="254"/>
      <c r="H21" s="51"/>
    </row>
    <row r="22" spans="2:8" ht="12" customHeight="1" x14ac:dyDescent="0.2">
      <c r="B22" s="57"/>
      <c r="C22" s="53">
        <v>3.1</v>
      </c>
      <c r="D22" s="54" t="s">
        <v>78</v>
      </c>
      <c r="E22" s="300">
        <f>'5.1 Base YR'!E22</f>
        <v>24366.000000000004</v>
      </c>
      <c r="F22" s="250">
        <f>VALUE(IF(NewConsumers1&gt;0,E22*'4.0 Activities'!O18,))</f>
        <v>0</v>
      </c>
      <c r="G22" s="250">
        <f>VALUE(IF(NewIEPDs1&gt;0,E22*'4.0 Activities'!P18,0))</f>
        <v>0</v>
      </c>
      <c r="H22" s="199">
        <f>F22*NewConsumers1+G22*NewIEPDs1</f>
        <v>0</v>
      </c>
    </row>
    <row r="23" spans="2:8" ht="12" customHeight="1" x14ac:dyDescent="0.2">
      <c r="B23" s="57"/>
      <c r="C23" s="58" t="s">
        <v>79</v>
      </c>
      <c r="D23" s="56" t="s">
        <v>80</v>
      </c>
      <c r="E23" s="301">
        <f>'5.1 Base YR'!E23</f>
        <v>25196.800000000003</v>
      </c>
      <c r="F23" s="251">
        <f>VALUE(IF(NewConsumers1&gt;0,E23*'4.0 Activities'!O19,))</f>
        <v>6299.2000000000007</v>
      </c>
      <c r="G23" s="251">
        <f>VALUE(IF(NewIEPDs1&gt;0,E23*'4.0 Activities'!P19,0))</f>
        <v>0</v>
      </c>
      <c r="H23" s="200">
        <f>F23*NewConsumers1+G23*NewIEPDs1</f>
        <v>18897.600000000002</v>
      </c>
    </row>
    <row r="24" spans="2:8" ht="12" customHeight="1" thickBot="1" x14ac:dyDescent="0.25">
      <c r="B24" s="57"/>
      <c r="C24" s="244"/>
      <c r="D24" s="237" t="s">
        <v>257</v>
      </c>
      <c r="E24" s="302">
        <f>SUM(E22:E23)</f>
        <v>49562.8</v>
      </c>
      <c r="F24" s="252">
        <f>SUM(F22:F23)</f>
        <v>6299.2000000000007</v>
      </c>
      <c r="G24" s="252">
        <f>SUM(G22:G23)</f>
        <v>0</v>
      </c>
      <c r="H24" s="238">
        <f>SUM(H22:H23)</f>
        <v>18897.600000000002</v>
      </c>
    </row>
    <row r="25" spans="2:8" ht="12" customHeight="1" x14ac:dyDescent="0.2">
      <c r="B25" s="57"/>
      <c r="C25" s="243"/>
      <c r="D25" s="203"/>
      <c r="E25" s="253"/>
      <c r="F25" s="253"/>
      <c r="G25" s="253"/>
      <c r="H25" s="204"/>
    </row>
    <row r="26" spans="2:8" ht="12" customHeight="1" x14ac:dyDescent="0.2">
      <c r="B26" s="233">
        <v>4</v>
      </c>
      <c r="C26" s="234" t="s">
        <v>81</v>
      </c>
      <c r="D26" s="261"/>
      <c r="E26" s="254"/>
      <c r="F26" s="254"/>
      <c r="G26" s="254"/>
      <c r="H26" s="51"/>
    </row>
    <row r="27" spans="2:8" ht="12" customHeight="1" x14ac:dyDescent="0.2">
      <c r="B27" s="57"/>
      <c r="C27" s="53">
        <v>4.0999999999999996</v>
      </c>
      <c r="D27" s="54" t="s">
        <v>82</v>
      </c>
      <c r="E27" s="300">
        <f>'5.1 Base YR'!E27</f>
        <v>7360.8</v>
      </c>
      <c r="F27" s="250">
        <f>VALUE(IF(NewConsumers1&gt;0,E27*'4.0 Activities'!O21,))</f>
        <v>1840.2</v>
      </c>
      <c r="G27" s="250">
        <f>VALUE(IF(NewIEPDs1&gt;0,E27*'4.0 Activities'!P21,0))</f>
        <v>0</v>
      </c>
      <c r="H27" s="199">
        <f t="shared" ref="H27:H32" si="0">F27*NewConsumers1+G27*NewIEPDs1</f>
        <v>5520.6</v>
      </c>
    </row>
    <row r="28" spans="2:8" ht="12" customHeight="1" x14ac:dyDescent="0.2">
      <c r="B28" s="57"/>
      <c r="C28" s="53" t="s">
        <v>83</v>
      </c>
      <c r="D28" s="54" t="s">
        <v>84</v>
      </c>
      <c r="E28" s="300">
        <f>'5.1 Base YR'!E28</f>
        <v>2822.4</v>
      </c>
      <c r="F28" s="250">
        <f>VALUE(IF(NewConsumers1&gt;0,E28*'4.0 Activities'!O22,))</f>
        <v>705.6</v>
      </c>
      <c r="G28" s="250">
        <f>VALUE(IF(NewIEPDs1&gt;0,E28*'4.0 Activities'!P22,0))</f>
        <v>0</v>
      </c>
      <c r="H28" s="199">
        <f t="shared" si="0"/>
        <v>2116.8000000000002</v>
      </c>
    </row>
    <row r="29" spans="2:8" ht="12" customHeight="1" x14ac:dyDescent="0.2">
      <c r="B29" s="57"/>
      <c r="C29" s="53" t="s">
        <v>85</v>
      </c>
      <c r="D29" s="54" t="s">
        <v>116</v>
      </c>
      <c r="E29" s="300">
        <f>'5.1 Base YR'!E29</f>
        <v>19508.400000000001</v>
      </c>
      <c r="F29" s="250">
        <f>VALUE(IF(NewConsumers1&gt;0,E29*'4.0 Activities'!O23,))</f>
        <v>4877.1000000000004</v>
      </c>
      <c r="G29" s="250">
        <f>VALUE(IF(NewIEPDs1&gt;0,E29*'4.0 Activities'!P23,0))</f>
        <v>0</v>
      </c>
      <c r="H29" s="199">
        <f t="shared" si="0"/>
        <v>14631.300000000001</v>
      </c>
    </row>
    <row r="30" spans="2:8" ht="12" customHeight="1" x14ac:dyDescent="0.2">
      <c r="B30" s="57"/>
      <c r="C30" s="53" t="s">
        <v>87</v>
      </c>
      <c r="D30" s="54" t="s">
        <v>88</v>
      </c>
      <c r="E30" s="300">
        <f>'5.1 Base YR'!E30</f>
        <v>13005.6</v>
      </c>
      <c r="F30" s="250">
        <f>VALUE(IF(NewConsumers1&gt;0,E30*'4.0 Activities'!O24,))</f>
        <v>6502.8</v>
      </c>
      <c r="G30" s="250">
        <f>VALUE(IF(NewIEPDs1&gt;0,E30*'4.0 Activities'!P24,0))</f>
        <v>0</v>
      </c>
      <c r="H30" s="199">
        <f t="shared" si="0"/>
        <v>19508.400000000001</v>
      </c>
    </row>
    <row r="31" spans="2:8" ht="12" customHeight="1" x14ac:dyDescent="0.2">
      <c r="B31" s="57"/>
      <c r="C31" s="53">
        <v>4.3</v>
      </c>
      <c r="D31" s="54" t="s">
        <v>89</v>
      </c>
      <c r="E31" s="300">
        <f>'5.1 Base YR'!E31</f>
        <v>17005.599999999999</v>
      </c>
      <c r="F31" s="250">
        <f>VALUE(IF(NewConsumers1&gt;0,E31*'4.0 Activities'!O25,))</f>
        <v>8502.7999999999993</v>
      </c>
      <c r="G31" s="250">
        <f>VALUE(IF(NewIEPDs1&gt;0,E31*'4.0 Activities'!P25,0))</f>
        <v>0</v>
      </c>
      <c r="H31" s="199">
        <f t="shared" si="0"/>
        <v>25508.399999999998</v>
      </c>
    </row>
    <row r="32" spans="2:8" ht="12" customHeight="1" x14ac:dyDescent="0.2">
      <c r="B32" s="57"/>
      <c r="C32" s="55">
        <v>4.4000000000000004</v>
      </c>
      <c r="D32" s="56" t="s">
        <v>90</v>
      </c>
      <c r="E32" s="301">
        <f>'5.1 Base YR'!E32</f>
        <v>15361.28</v>
      </c>
      <c r="F32" s="251">
        <f>VALUE(IF(NewConsumers1&gt;0,E32*'4.0 Activities'!O26,))</f>
        <v>7680.64</v>
      </c>
      <c r="G32" s="251">
        <f>VALUE(IF(NewIEPDs1&gt;0,E32*'4.0 Activities'!P26,0))</f>
        <v>0</v>
      </c>
      <c r="H32" s="200">
        <f t="shared" si="0"/>
        <v>23041.920000000002</v>
      </c>
    </row>
    <row r="33" spans="2:8" ht="12" customHeight="1" thickBot="1" x14ac:dyDescent="0.25">
      <c r="B33" s="57"/>
      <c r="C33" s="241"/>
      <c r="D33" s="237" t="s">
        <v>257</v>
      </c>
      <c r="E33" s="302">
        <f>SUM(E27:E32)</f>
        <v>75064.08</v>
      </c>
      <c r="F33" s="252">
        <f>SUM(F27:F32)</f>
        <v>30109.14</v>
      </c>
      <c r="G33" s="252">
        <f>SUM(G27:G32)</f>
        <v>0</v>
      </c>
      <c r="H33" s="238">
        <f>SUM(H27:H32)</f>
        <v>90327.42</v>
      </c>
    </row>
    <row r="34" spans="2:8" ht="12" customHeight="1" x14ac:dyDescent="0.2">
      <c r="B34" s="57"/>
      <c r="C34" s="239"/>
      <c r="D34" s="203"/>
      <c r="E34" s="253"/>
      <c r="F34" s="253"/>
      <c r="G34" s="253"/>
      <c r="H34" s="204"/>
    </row>
    <row r="35" spans="2:8" ht="12" customHeight="1" x14ac:dyDescent="0.2">
      <c r="B35" s="233">
        <v>5</v>
      </c>
      <c r="C35" s="234" t="s">
        <v>91</v>
      </c>
      <c r="D35" s="261"/>
      <c r="E35" s="254"/>
      <c r="F35" s="254"/>
      <c r="G35" s="254"/>
      <c r="H35" s="51"/>
    </row>
    <row r="36" spans="2:8" ht="12" customHeight="1" x14ac:dyDescent="0.2">
      <c r="B36" s="57"/>
      <c r="C36" s="53">
        <v>5.0999999999999996</v>
      </c>
      <c r="D36" s="54" t="s">
        <v>92</v>
      </c>
      <c r="E36" s="300">
        <f>'5.1 Base YR'!E36</f>
        <v>17077.2</v>
      </c>
      <c r="F36" s="250">
        <f>VALUE(IF(NewConsumers1&gt;0,E36*'4.0 Activities'!O28,))</f>
        <v>4269.3</v>
      </c>
      <c r="G36" s="250">
        <f>VALUE(IF(NewIEPDs1&gt;0,E36*'4.0 Activities'!P28,0))</f>
        <v>0</v>
      </c>
      <c r="H36" s="199">
        <f>F36*NewConsumers1+G36*NewIEPDs1</f>
        <v>12807.900000000001</v>
      </c>
    </row>
    <row r="37" spans="2:8" ht="12" customHeight="1" x14ac:dyDescent="0.2">
      <c r="B37" s="57"/>
      <c r="C37" s="55">
        <v>5.2</v>
      </c>
      <c r="D37" s="56" t="s">
        <v>93</v>
      </c>
      <c r="E37" s="301">
        <f>'5.1 Base YR'!E37</f>
        <v>17630.800000000003</v>
      </c>
      <c r="F37" s="251">
        <f>VALUE(IF(NewConsumers1&gt;0,E37*'4.0 Activities'!O29,))</f>
        <v>4407.7000000000007</v>
      </c>
      <c r="G37" s="251">
        <f>VALUE(IF(NewIEPDs1&gt;0,E37*'4.0 Activities'!P29,0))</f>
        <v>0</v>
      </c>
      <c r="H37" s="200">
        <f>F37*NewConsumers1+G37*NewIEPDs1</f>
        <v>13223.100000000002</v>
      </c>
    </row>
    <row r="38" spans="2:8" ht="12" customHeight="1" thickBot="1" x14ac:dyDescent="0.25">
      <c r="B38" s="57"/>
      <c r="C38" s="241"/>
      <c r="D38" s="237" t="s">
        <v>257</v>
      </c>
      <c r="E38" s="302">
        <f>SUM(E36:E37)</f>
        <v>34708</v>
      </c>
      <c r="F38" s="252">
        <f>SUM(F36:F37)</f>
        <v>8677</v>
      </c>
      <c r="G38" s="252">
        <f>SUM(G36:G37)</f>
        <v>0</v>
      </c>
      <c r="H38" s="238">
        <f>SUM(H36:H37)</f>
        <v>26031.000000000004</v>
      </c>
    </row>
    <row r="39" spans="2:8" ht="12" customHeight="1" x14ac:dyDescent="0.2">
      <c r="B39" s="57"/>
      <c r="C39" s="239"/>
      <c r="D39" s="203"/>
      <c r="E39" s="253"/>
      <c r="F39" s="253"/>
      <c r="G39" s="253"/>
      <c r="H39" s="204"/>
    </row>
    <row r="40" spans="2:8" ht="12" customHeight="1" x14ac:dyDescent="0.2">
      <c r="B40" s="233">
        <v>6</v>
      </c>
      <c r="C40" s="234" t="s">
        <v>14</v>
      </c>
      <c r="D40" s="50"/>
      <c r="E40" s="254"/>
      <c r="F40" s="254"/>
      <c r="G40" s="254"/>
      <c r="H40" s="51"/>
    </row>
    <row r="41" spans="2:8" ht="12" customHeight="1" x14ac:dyDescent="0.2">
      <c r="B41" s="52"/>
      <c r="C41" s="55">
        <v>6.1</v>
      </c>
      <c r="D41" s="56" t="s">
        <v>94</v>
      </c>
      <c r="E41" s="301">
        <f>'5.1 Base YR'!E41</f>
        <v>13673.6</v>
      </c>
      <c r="F41" s="251">
        <f>VALUE(IF(NewConsumers1&gt;0,E41*'4.0 Activities'!O31,))</f>
        <v>3418.4</v>
      </c>
      <c r="G41" s="251">
        <f>VALUE(IF(NewIEPDs1&gt;0,E41*'4.0 Activities'!P31,0))</f>
        <v>0</v>
      </c>
      <c r="H41" s="200">
        <f>F41*NewConsumers1+G41*NewIEPDs1</f>
        <v>10255.200000000001</v>
      </c>
    </row>
    <row r="42" spans="2:8" ht="12" customHeight="1" thickBot="1" x14ac:dyDescent="0.25">
      <c r="B42" s="52"/>
      <c r="C42" s="241"/>
      <c r="D42" s="237" t="s">
        <v>257</v>
      </c>
      <c r="E42" s="302">
        <f>SUM(E41)</f>
        <v>13673.6</v>
      </c>
      <c r="F42" s="252">
        <f>SUM(F41)</f>
        <v>3418.4</v>
      </c>
      <c r="G42" s="252">
        <f>SUM(G41)</f>
        <v>0</v>
      </c>
      <c r="H42" s="238">
        <f>SUM(H41)</f>
        <v>10255.200000000001</v>
      </c>
    </row>
    <row r="43" spans="2:8" ht="12" customHeight="1" x14ac:dyDescent="0.2">
      <c r="B43" s="52"/>
      <c r="C43" s="239"/>
      <c r="D43" s="203"/>
      <c r="E43" s="253"/>
      <c r="F43" s="253"/>
      <c r="G43" s="253"/>
      <c r="H43" s="204"/>
    </row>
    <row r="44" spans="2:8" ht="12" customHeight="1" x14ac:dyDescent="0.2">
      <c r="B44" s="233">
        <v>7</v>
      </c>
      <c r="C44" s="234" t="s">
        <v>233</v>
      </c>
      <c r="D44" s="50"/>
      <c r="E44" s="257"/>
      <c r="F44" s="257"/>
      <c r="G44" s="257"/>
      <c r="H44" s="60"/>
    </row>
    <row r="45" spans="2:8" ht="12" customHeight="1" x14ac:dyDescent="0.2">
      <c r="B45" s="52"/>
      <c r="C45" s="53">
        <v>7.1</v>
      </c>
      <c r="D45" s="54" t="s">
        <v>186</v>
      </c>
      <c r="E45" s="300">
        <f>'5.1 Base YR'!E45</f>
        <v>27239.600000000002</v>
      </c>
      <c r="F45" s="250">
        <f>VALUE(IF(NewConsumers1&gt;0,E45*'4.0 Activities'!O33,))</f>
        <v>0</v>
      </c>
      <c r="G45" s="250">
        <f>VALUE(IF(NewIEPDs1&gt;0,E45*'4.0 Activities'!P33,0))</f>
        <v>0</v>
      </c>
      <c r="H45" s="199">
        <f t="shared" ref="H45:H50" si="1">F45*NewConsumers1+G45*NewIEPDs1</f>
        <v>0</v>
      </c>
    </row>
    <row r="46" spans="2:8" ht="12" customHeight="1" x14ac:dyDescent="0.2">
      <c r="B46" s="52"/>
      <c r="C46" s="53">
        <v>7.2</v>
      </c>
      <c r="D46" s="54" t="s">
        <v>234</v>
      </c>
      <c r="E46" s="300">
        <f>'5.1 Base YR'!E46</f>
        <v>23239.600000000002</v>
      </c>
      <c r="F46" s="250">
        <f>VALUE(IF(NewConsumers1&gt;0,E46*'4.0 Activities'!O34,))</f>
        <v>0</v>
      </c>
      <c r="G46" s="250">
        <f>VALUE(IF(NewIEPDs1&gt;0,E46*'4.0 Activities'!P34,0))</f>
        <v>0</v>
      </c>
      <c r="H46" s="199">
        <f t="shared" si="1"/>
        <v>0</v>
      </c>
    </row>
    <row r="47" spans="2:8" ht="12" customHeight="1" x14ac:dyDescent="0.2">
      <c r="B47" s="52"/>
      <c r="C47" s="53">
        <v>7.3</v>
      </c>
      <c r="D47" s="54" t="s">
        <v>187</v>
      </c>
      <c r="E47" s="300">
        <f>'5.1 Base YR'!E47</f>
        <v>23239.600000000002</v>
      </c>
      <c r="F47" s="250">
        <f>VALUE(IF(NewConsumers1&gt;0,E47*'4.0 Activities'!O35,))</f>
        <v>5809.9000000000005</v>
      </c>
      <c r="G47" s="250">
        <f>VALUE(IF(NewIEPDs1&gt;0,E47*'4.0 Activities'!P35,0))</f>
        <v>0</v>
      </c>
      <c r="H47" s="199">
        <f t="shared" si="1"/>
        <v>17429.7</v>
      </c>
    </row>
    <row r="48" spans="2:8" ht="12" customHeight="1" x14ac:dyDescent="0.2">
      <c r="B48" s="52"/>
      <c r="C48" s="53">
        <v>7.4</v>
      </c>
      <c r="D48" s="54" t="s">
        <v>161</v>
      </c>
      <c r="E48" s="300">
        <f>'5.1 Base YR'!E48</f>
        <v>9644.7999999999993</v>
      </c>
      <c r="F48" s="250">
        <f>VALUE(IF(NewConsumers1&gt;0,E48*'4.0 Activities'!O36,))</f>
        <v>0</v>
      </c>
      <c r="G48" s="250">
        <f>VALUE(IF(NewIEPDs1&gt;0,E48*'4.0 Activities'!P36,0))</f>
        <v>0</v>
      </c>
      <c r="H48" s="199">
        <f t="shared" si="1"/>
        <v>0</v>
      </c>
    </row>
    <row r="49" spans="2:8" ht="12" customHeight="1" x14ac:dyDescent="0.2">
      <c r="B49" s="52"/>
      <c r="C49" s="53">
        <v>7.5</v>
      </c>
      <c r="D49" s="54" t="s">
        <v>162</v>
      </c>
      <c r="E49" s="300">
        <f>'5.1 Base YR'!E49</f>
        <v>13846.64</v>
      </c>
      <c r="F49" s="250">
        <f>VALUE(IF(NewConsumers1&gt;0,E49*'4.0 Activities'!O37,))</f>
        <v>0</v>
      </c>
      <c r="G49" s="250">
        <f>VALUE(IF(NewIEPDs1&gt;0,E49*'4.0 Activities'!P37,0))</f>
        <v>0</v>
      </c>
      <c r="H49" s="199">
        <f t="shared" si="1"/>
        <v>0</v>
      </c>
    </row>
    <row r="50" spans="2:8" ht="12" customHeight="1" x14ac:dyDescent="0.2">
      <c r="B50" s="52"/>
      <c r="C50" s="55">
        <v>7.6</v>
      </c>
      <c r="D50" s="56" t="s">
        <v>163</v>
      </c>
      <c r="E50" s="301">
        <f>'5.1 Base YR'!E50</f>
        <v>26495.600000000002</v>
      </c>
      <c r="F50" s="251">
        <f>VALUE(IF(NewConsumers1&gt;0,E50*'4.0 Activities'!O38,))</f>
        <v>13247.800000000001</v>
      </c>
      <c r="G50" s="251">
        <f>VALUE(IF(NewIEPDs1&gt;0,E50*'4.0 Activities'!P38,0))</f>
        <v>0</v>
      </c>
      <c r="H50" s="200">
        <f t="shared" si="1"/>
        <v>39743.4</v>
      </c>
    </row>
    <row r="51" spans="2:8" ht="12" customHeight="1" thickBot="1" x14ac:dyDescent="0.25">
      <c r="B51" s="52"/>
      <c r="C51" s="241"/>
      <c r="D51" s="237" t="s">
        <v>257</v>
      </c>
      <c r="E51" s="302">
        <f>SUM(E45:E50)</f>
        <v>123705.84000000001</v>
      </c>
      <c r="F51" s="252">
        <f>SUM(F45:F50)</f>
        <v>19057.7</v>
      </c>
      <c r="G51" s="252">
        <f>SUM(G45:G50)</f>
        <v>0</v>
      </c>
      <c r="H51" s="307">
        <f>SUM(H45:H50)</f>
        <v>57173.100000000006</v>
      </c>
    </row>
    <row r="52" spans="2:8" ht="12" customHeight="1" x14ac:dyDescent="0.2">
      <c r="B52" s="52"/>
      <c r="C52" s="239"/>
      <c r="D52" s="203"/>
      <c r="E52" s="253"/>
      <c r="F52" s="253"/>
      <c r="G52" s="253"/>
      <c r="H52" s="308"/>
    </row>
    <row r="53" spans="2:8" ht="12" customHeight="1" x14ac:dyDescent="0.2">
      <c r="B53" s="233">
        <v>8</v>
      </c>
      <c r="C53" s="234" t="s">
        <v>235</v>
      </c>
      <c r="D53" s="50"/>
      <c r="E53" s="257"/>
      <c r="F53" s="257"/>
      <c r="G53" s="257"/>
      <c r="H53" s="60"/>
    </row>
    <row r="54" spans="2:8" ht="12" customHeight="1" x14ac:dyDescent="0.2">
      <c r="B54" s="52"/>
      <c r="C54" s="53">
        <v>8.1</v>
      </c>
      <c r="D54" s="54" t="s">
        <v>236</v>
      </c>
      <c r="E54" s="300">
        <f>'5.1 Base YR'!E54</f>
        <v>26920.000000000004</v>
      </c>
      <c r="F54" s="250">
        <f>VALUE(IF(NewConsumers1&gt;0,E54*'4.0 Activities'!O40,))</f>
        <v>6730.0000000000009</v>
      </c>
      <c r="G54" s="250">
        <f>VALUE(IF(NewIEPDs1&gt;0,E54*'4.0 Activities'!P40,0))</f>
        <v>0</v>
      </c>
      <c r="H54" s="199">
        <f>F54*NewConsumers1+G54*NewIEPDs1</f>
        <v>20190.000000000004</v>
      </c>
    </row>
    <row r="55" spans="2:8" ht="12" customHeight="1" x14ac:dyDescent="0.2">
      <c r="B55" s="52"/>
      <c r="C55" s="53">
        <v>8.1999999999999993</v>
      </c>
      <c r="D55" s="54" t="s">
        <v>237</v>
      </c>
      <c r="E55" s="300">
        <f>'5.1 Base YR'!E55</f>
        <v>26920.000000000004</v>
      </c>
      <c r="F55" s="250">
        <f>VALUE(IF(NewConsumers1&gt;0,E55*'4.0 Activities'!O41,))</f>
        <v>6730.0000000000009</v>
      </c>
      <c r="G55" s="250">
        <f>VALUE(IF(NewIEPDs1&gt;0,E55*'4.0 Activities'!P41,0))</f>
        <v>0</v>
      </c>
      <c r="H55" s="199">
        <f>F55*NewConsumers1+G55*NewIEPDs1</f>
        <v>20190.000000000004</v>
      </c>
    </row>
    <row r="56" spans="2:8" ht="12" customHeight="1" x14ac:dyDescent="0.2">
      <c r="B56" s="52"/>
      <c r="C56" s="55">
        <v>8.3000000000000007</v>
      </c>
      <c r="D56" s="56" t="s">
        <v>164</v>
      </c>
      <c r="E56" s="301">
        <f>'5.1 Base YR'!E56</f>
        <v>22962.800000000003</v>
      </c>
      <c r="F56" s="251">
        <f>VALUE(IF(NewConsumers1&gt;0,E56*'4.0 Activities'!O42,))</f>
        <v>5740.7000000000007</v>
      </c>
      <c r="G56" s="251">
        <f>VALUE(IF(NewIEPDs1&gt;0,E56*'4.0 Activities'!P42,0))</f>
        <v>0</v>
      </c>
      <c r="H56" s="200">
        <f>F56*NewConsumers1+G56*NewIEPDs1</f>
        <v>17222.100000000002</v>
      </c>
    </row>
    <row r="57" spans="2:8" ht="12" customHeight="1" thickBot="1" x14ac:dyDescent="0.25">
      <c r="B57" s="52"/>
      <c r="C57" s="241"/>
      <c r="D57" s="237" t="s">
        <v>257</v>
      </c>
      <c r="E57" s="302">
        <f>SUM(E54:E56)</f>
        <v>76802.800000000017</v>
      </c>
      <c r="F57" s="252">
        <f>SUM(F54:F56)</f>
        <v>19200.700000000004</v>
      </c>
      <c r="G57" s="252">
        <f>SUM(G54:G56)</f>
        <v>0</v>
      </c>
      <c r="H57" s="307">
        <f>SUM(H54:H56)</f>
        <v>57602.100000000006</v>
      </c>
    </row>
    <row r="58" spans="2:8" ht="12" customHeight="1" x14ac:dyDescent="0.2">
      <c r="B58" s="52"/>
      <c r="C58" s="239"/>
      <c r="D58" s="203"/>
      <c r="E58" s="253"/>
      <c r="F58" s="253"/>
      <c r="G58" s="253"/>
      <c r="H58" s="308"/>
    </row>
    <row r="59" spans="2:8" ht="12" customHeight="1" x14ac:dyDescent="0.2">
      <c r="B59" s="233">
        <v>9</v>
      </c>
      <c r="C59" s="234" t="s">
        <v>178</v>
      </c>
      <c r="D59" s="50"/>
      <c r="E59" s="257"/>
      <c r="F59" s="257"/>
      <c r="G59" s="257"/>
      <c r="H59" s="60"/>
    </row>
    <row r="60" spans="2:8" ht="12" customHeight="1" x14ac:dyDescent="0.2">
      <c r="B60" s="52"/>
      <c r="C60" s="53">
        <v>9.1</v>
      </c>
      <c r="D60" s="54" t="s">
        <v>183</v>
      </c>
      <c r="E60" s="300">
        <f>'5.1 Base YR'!E60</f>
        <v>15171.36</v>
      </c>
      <c r="F60" s="250">
        <f>VALUE(IF(NewConsumers1&gt;0,E60*'4.0 Activities'!O44,))</f>
        <v>11378.52</v>
      </c>
      <c r="G60" s="250">
        <f>VALUE(IF(NewIEPDs1&gt;0,E60*'4.0 Activities'!P44,0))</f>
        <v>0</v>
      </c>
      <c r="H60" s="199">
        <f t="shared" ref="H60:H65" si="2">F60*NewConsumers1+G60*NewIEPDs1</f>
        <v>34135.56</v>
      </c>
    </row>
    <row r="61" spans="2:8" ht="12" customHeight="1" x14ac:dyDescent="0.2">
      <c r="B61" s="52"/>
      <c r="C61" s="53">
        <v>9.1999999999999993</v>
      </c>
      <c r="D61" s="54" t="s">
        <v>238</v>
      </c>
      <c r="E61" s="300">
        <f>'5.1 Base YR'!E61</f>
        <v>15171.36</v>
      </c>
      <c r="F61" s="250">
        <f>VALUE(IF(NewConsumers1&gt;0,E61*'4.0 Activities'!O45,))</f>
        <v>11378.52</v>
      </c>
      <c r="G61" s="250">
        <f>VALUE(IF(NewIEPDs1&gt;0,E61*'4.0 Activities'!P45,0))</f>
        <v>0</v>
      </c>
      <c r="H61" s="199">
        <f t="shared" si="2"/>
        <v>34135.56</v>
      </c>
    </row>
    <row r="62" spans="2:8" ht="12" customHeight="1" x14ac:dyDescent="0.2">
      <c r="B62" s="52"/>
      <c r="C62" s="53">
        <v>9.3000000000000007</v>
      </c>
      <c r="D62" s="54" t="s">
        <v>184</v>
      </c>
      <c r="E62" s="300">
        <f>'5.1 Base YR'!E62</f>
        <v>15171.36</v>
      </c>
      <c r="F62" s="250">
        <f>VALUE(IF(NewConsumers1&gt;0,E62*'4.0 Activities'!O46,))</f>
        <v>11378.52</v>
      </c>
      <c r="G62" s="250">
        <f>VALUE(IF(NewIEPDs1&gt;0,E62*'4.0 Activities'!P46,0))</f>
        <v>0</v>
      </c>
      <c r="H62" s="199">
        <f t="shared" si="2"/>
        <v>34135.56</v>
      </c>
    </row>
    <row r="63" spans="2:8" ht="12" customHeight="1" x14ac:dyDescent="0.2">
      <c r="B63" s="52"/>
      <c r="C63" s="53">
        <v>9.4</v>
      </c>
      <c r="D63" s="54" t="s">
        <v>185</v>
      </c>
      <c r="E63" s="300">
        <f>'5.1 Base YR'!E63</f>
        <v>15171.36</v>
      </c>
      <c r="F63" s="250">
        <f>VALUE(IF(NewConsumers1&gt;0,E63*'4.0 Activities'!O47,))</f>
        <v>7585.68</v>
      </c>
      <c r="G63" s="250">
        <f>VALUE(IF(NewIEPDs1&gt;0,E63*'4.0 Activities'!P47,0))</f>
        <v>0</v>
      </c>
      <c r="H63" s="199">
        <f t="shared" si="2"/>
        <v>22757.040000000001</v>
      </c>
    </row>
    <row r="64" spans="2:8" ht="12" customHeight="1" x14ac:dyDescent="0.2">
      <c r="B64" s="52"/>
      <c r="C64" s="53">
        <v>9.5</v>
      </c>
      <c r="D64" s="54" t="s">
        <v>239</v>
      </c>
      <c r="E64" s="300">
        <f>'5.1 Base YR'!E64</f>
        <v>15171.36</v>
      </c>
      <c r="F64" s="250">
        <f>VALUE(IF(NewConsumers1&gt;0,E64*'4.0 Activities'!O48,))</f>
        <v>7585.68</v>
      </c>
      <c r="G64" s="250">
        <f>VALUE(IF(NewIEPDs1&gt;0,E64*'4.0 Activities'!P48,0))</f>
        <v>0</v>
      </c>
      <c r="H64" s="199">
        <f t="shared" si="2"/>
        <v>22757.040000000001</v>
      </c>
    </row>
    <row r="65" spans="2:8" ht="12" customHeight="1" x14ac:dyDescent="0.2">
      <c r="B65" s="52"/>
      <c r="C65" s="55">
        <v>9.6</v>
      </c>
      <c r="D65" s="56" t="s">
        <v>240</v>
      </c>
      <c r="E65" s="301">
        <f>'5.1 Base YR'!E65</f>
        <v>19171.36</v>
      </c>
      <c r="F65" s="251">
        <f>VALUE(IF(NewConsumers1&gt;0,E65*'4.0 Activities'!O49,))</f>
        <v>9585.68</v>
      </c>
      <c r="G65" s="251">
        <f>VALUE(IF(NewIEPDs1&gt;0,E65*'4.0 Activities'!P49,0))</f>
        <v>0</v>
      </c>
      <c r="H65" s="200">
        <f t="shared" si="2"/>
        <v>28757.040000000001</v>
      </c>
    </row>
    <row r="66" spans="2:8" ht="12" customHeight="1" thickBot="1" x14ac:dyDescent="0.25">
      <c r="B66" s="52"/>
      <c r="C66" s="241"/>
      <c r="D66" s="237" t="s">
        <v>257</v>
      </c>
      <c r="E66" s="302">
        <f>SUM(E60:E65)</f>
        <v>95028.160000000003</v>
      </c>
      <c r="F66" s="252">
        <f>SUM(F60:F65)</f>
        <v>58892.6</v>
      </c>
      <c r="G66" s="252">
        <f>SUM(G60:G65)</f>
        <v>0</v>
      </c>
      <c r="H66" s="307">
        <f>SUM(H60:H65)</f>
        <v>176677.80000000002</v>
      </c>
    </row>
    <row r="67" spans="2:8" ht="12" customHeight="1" x14ac:dyDescent="0.2">
      <c r="B67" s="52"/>
      <c r="C67" s="239"/>
      <c r="D67" s="203"/>
      <c r="E67" s="253"/>
      <c r="F67" s="253"/>
      <c r="G67" s="253"/>
      <c r="H67" s="308"/>
    </row>
    <row r="68" spans="2:8" ht="12" customHeight="1" x14ac:dyDescent="0.2">
      <c r="B68" s="233">
        <v>10</v>
      </c>
      <c r="C68" s="234" t="s">
        <v>179</v>
      </c>
      <c r="D68" s="50"/>
      <c r="E68" s="257"/>
      <c r="F68" s="257"/>
      <c r="G68" s="257"/>
      <c r="H68" s="60"/>
    </row>
    <row r="69" spans="2:8" ht="12" customHeight="1" x14ac:dyDescent="0.2">
      <c r="B69" s="52"/>
      <c r="C69" s="53">
        <v>10.1</v>
      </c>
      <c r="D69" s="54" t="s">
        <v>180</v>
      </c>
      <c r="E69" s="300">
        <f>'5.1 Base YR'!E69</f>
        <v>8522.4</v>
      </c>
      <c r="F69" s="250">
        <f>VALUE(IF(NewConsumers1&gt;0,E69*'4.0 Activities'!O51,))</f>
        <v>0</v>
      </c>
      <c r="G69" s="250">
        <f>VALUE(IF(NewIEPDs1&gt;0,E69*'4.0 Activities'!P51,0))</f>
        <v>0</v>
      </c>
      <c r="H69" s="199">
        <f>F69*NewConsumers1+G69*NewIEPDs1</f>
        <v>0</v>
      </c>
    </row>
    <row r="70" spans="2:8" ht="12" customHeight="1" x14ac:dyDescent="0.2">
      <c r="B70" s="52"/>
      <c r="C70" s="53">
        <v>10.199999999999999</v>
      </c>
      <c r="D70" s="54" t="s">
        <v>181</v>
      </c>
      <c r="E70" s="300">
        <f>'5.1 Base YR'!E70</f>
        <v>8522.4</v>
      </c>
      <c r="F70" s="250">
        <f>VALUE(IF(NewConsumers1&gt;0,E70*'4.0 Activities'!O52,))</f>
        <v>0</v>
      </c>
      <c r="G70" s="250">
        <f>VALUE(IF(NewIEPDs1&gt;0,E70*'4.0 Activities'!P52,0))</f>
        <v>0</v>
      </c>
      <c r="H70" s="199">
        <f>F70*NewConsumers1+G70*NewIEPDs1</f>
        <v>0</v>
      </c>
    </row>
    <row r="71" spans="2:8" ht="12" customHeight="1" x14ac:dyDescent="0.2">
      <c r="B71" s="52"/>
      <c r="C71" s="55">
        <v>10.3</v>
      </c>
      <c r="D71" s="56" t="s">
        <v>182</v>
      </c>
      <c r="E71" s="301">
        <f>'5.1 Base YR'!E71</f>
        <v>8522.4</v>
      </c>
      <c r="F71" s="251">
        <f>VALUE(IF(NewConsumers1&gt;0,E71*'4.0 Activities'!O53,))</f>
        <v>0</v>
      </c>
      <c r="G71" s="251">
        <f>VALUE(IF(NewIEPDs1&gt;0,E71*'4.0 Activities'!P53,0))</f>
        <v>0</v>
      </c>
      <c r="H71" s="200">
        <f>F71*NewConsumers1+G71*NewIEPDs1</f>
        <v>0</v>
      </c>
    </row>
    <row r="72" spans="2:8" ht="12" customHeight="1" thickBot="1" x14ac:dyDescent="0.25">
      <c r="B72" s="52"/>
      <c r="C72" s="241"/>
      <c r="D72" s="237" t="s">
        <v>257</v>
      </c>
      <c r="E72" s="302">
        <f>SUM(E69:E71)</f>
        <v>25567.199999999997</v>
      </c>
      <c r="F72" s="252">
        <f>SUM(F69:F71)</f>
        <v>0</v>
      </c>
      <c r="G72" s="252">
        <f>SUM(G69:G71)</f>
        <v>0</v>
      </c>
      <c r="H72" s="238">
        <f>SUM(H69:H71)</f>
        <v>0</v>
      </c>
    </row>
    <row r="73" spans="2:8" ht="12" customHeight="1" x14ac:dyDescent="0.2">
      <c r="B73" s="52"/>
      <c r="C73" s="239"/>
      <c r="D73" s="203"/>
      <c r="E73" s="253"/>
      <c r="F73" s="253"/>
      <c r="G73" s="253"/>
      <c r="H73" s="204"/>
    </row>
    <row r="74" spans="2:8" ht="12" customHeight="1" thickBot="1" x14ac:dyDescent="0.25">
      <c r="B74" s="274" t="s">
        <v>298</v>
      </c>
      <c r="C74" s="276"/>
      <c r="D74" s="275"/>
      <c r="E74" s="304">
        <f>SUM($E$14,$E$19,$E$24,$E$33,$E$38,$E$42,$E$51,$E$57,$E$66,$E$72)</f>
        <v>684776.08000000007</v>
      </c>
      <c r="F74" s="277">
        <f>SUM($F$14,$F$19,$F$24,$F$33,$F$38,$F$42,$F$51,$F$57,$F$66,$F$72)</f>
        <v>171125.54</v>
      </c>
      <c r="G74" s="277">
        <f>SUM($G$14,$G$19,$G$24,$G$33,$G$38,$G$42,$G$51,$G$57,$G$66,$G$72)</f>
        <v>0</v>
      </c>
      <c r="H74" s="309">
        <f>SUM($H$14,$H$19,$H$24,$H$33,$H$38,$H$42,$H$51,$H$57,$H$66,$H$72)</f>
        <v>513376.62000000011</v>
      </c>
    </row>
    <row r="75" spans="2:8" ht="12" customHeight="1" thickTop="1" thickBot="1" x14ac:dyDescent="0.25">
      <c r="B75" s="65"/>
      <c r="C75" s="61"/>
      <c r="D75" s="62"/>
      <c r="E75" s="298"/>
      <c r="F75" s="298"/>
      <c r="G75" s="298"/>
      <c r="H75" s="299"/>
    </row>
    <row r="76" spans="2:8" ht="12" customHeight="1" thickBot="1" x14ac:dyDescent="0.25">
      <c r="C76" s="53"/>
      <c r="D76" s="203"/>
      <c r="E76" s="316"/>
      <c r="F76" s="316"/>
      <c r="G76" s="316"/>
      <c r="H76" s="316"/>
    </row>
    <row r="77" spans="2:8" ht="12" customHeight="1" x14ac:dyDescent="0.2">
      <c r="B77" s="46" t="s">
        <v>196</v>
      </c>
      <c r="C77" s="63"/>
      <c r="D77" s="47"/>
      <c r="E77" s="310"/>
      <c r="F77" s="258"/>
      <c r="G77" s="258"/>
      <c r="H77" s="283"/>
    </row>
    <row r="78" spans="2:8" ht="12" customHeight="1" x14ac:dyDescent="0.2">
      <c r="B78" s="64"/>
      <c r="C78" s="53"/>
      <c r="D78" s="54" t="str">
        <f>'3.0 Cost Variables'!B23</f>
        <v>Hardware Cost</v>
      </c>
      <c r="E78" s="300">
        <f>'5.1 Base YR'!E78</f>
        <v>0</v>
      </c>
      <c r="F78" s="250">
        <f>'3.0 Cost Variables'!E23</f>
        <v>0</v>
      </c>
      <c r="G78" s="250">
        <v>0</v>
      </c>
      <c r="H78" s="265">
        <f>SUM(F78:G78)</f>
        <v>0</v>
      </c>
    </row>
    <row r="79" spans="2:8" ht="12" customHeight="1" x14ac:dyDescent="0.2">
      <c r="B79" s="64"/>
      <c r="C79" s="53"/>
      <c r="D79" s="54" t="str">
        <f>'3.0 Cost Variables'!B24</f>
        <v>Software Cost</v>
      </c>
      <c r="E79" s="300">
        <f>'5.1 Base YR'!E79</f>
        <v>0</v>
      </c>
      <c r="F79" s="250">
        <f>'3.0 Cost Variables'!E24</f>
        <v>0</v>
      </c>
      <c r="G79" s="250">
        <v>0</v>
      </c>
      <c r="H79" s="265">
        <f>SUM(F79:G79)</f>
        <v>0</v>
      </c>
    </row>
    <row r="80" spans="2:8" ht="12" customHeight="1" x14ac:dyDescent="0.2">
      <c r="B80" s="64"/>
      <c r="C80" s="55"/>
      <c r="D80" s="56" t="s">
        <v>117</v>
      </c>
      <c r="E80" s="301">
        <f>'5.1 Base YR'!E80</f>
        <v>6700</v>
      </c>
      <c r="F80" s="251">
        <f>Training1</f>
        <v>5000</v>
      </c>
      <c r="G80" s="251">
        <v>0</v>
      </c>
      <c r="H80" s="266">
        <f>SUM(F80:G80)</f>
        <v>5000</v>
      </c>
    </row>
    <row r="81" spans="2:8" ht="12" customHeight="1" thickBot="1" x14ac:dyDescent="0.25">
      <c r="B81" s="279"/>
      <c r="C81" s="280"/>
      <c r="D81" s="237" t="s">
        <v>257</v>
      </c>
      <c r="E81" s="311">
        <f>SUM(E78:E80)</f>
        <v>6700</v>
      </c>
      <c r="F81" s="282">
        <f t="shared" ref="F81:H81" si="3">SUM(F78:F80)</f>
        <v>5000</v>
      </c>
      <c r="G81" s="262">
        <f t="shared" si="3"/>
        <v>0</v>
      </c>
      <c r="H81" s="272">
        <f t="shared" si="3"/>
        <v>5000</v>
      </c>
    </row>
    <row r="82" spans="2:8" ht="12" customHeight="1" thickBot="1" x14ac:dyDescent="0.25">
      <c r="B82" s="284"/>
      <c r="C82" s="281"/>
      <c r="D82" s="62"/>
      <c r="E82" s="286"/>
      <c r="F82" s="285"/>
      <c r="G82" s="286"/>
      <c r="H82" s="287"/>
    </row>
    <row r="83" spans="2:8" ht="12" customHeight="1" thickBot="1" x14ac:dyDescent="0.25">
      <c r="E83" s="315"/>
      <c r="F83" s="315"/>
      <c r="G83" s="315"/>
      <c r="H83" s="315"/>
    </row>
    <row r="84" spans="2:8" ht="12" customHeight="1" x14ac:dyDescent="0.2">
      <c r="B84" s="46" t="s">
        <v>108</v>
      </c>
      <c r="C84" s="47"/>
      <c r="D84" s="48"/>
      <c r="E84" s="312"/>
      <c r="F84" s="248"/>
      <c r="G84" s="248"/>
      <c r="H84" s="263"/>
    </row>
    <row r="85" spans="2:8" ht="12" customHeight="1" x14ac:dyDescent="0.2">
      <c r="B85" s="52"/>
      <c r="D85" s="54" t="str">
        <f>IF(ExistingIEPD= "YES", "There is an existing IEPD","There is not and existing IEPD")</f>
        <v>There is not and existing IEPD</v>
      </c>
      <c r="E85" s="300">
        <f>VALUE(IF(ExistingIEPD="YES",SUM(E18,E22,E27:E28,E30)*-1,0))</f>
        <v>0</v>
      </c>
      <c r="F85" s="250">
        <f>VALUE(IF(ExistingIEPD="YES",SUM(F18,F22,F27:F28,F30)*-1,0))</f>
        <v>0</v>
      </c>
      <c r="G85" s="250">
        <f>VALUE(IF(ExistingIEPD="YES",SUM(G18,G22,G27:G28,G30)*-1,0))</f>
        <v>0</v>
      </c>
      <c r="H85" s="265">
        <f>SUM(F85:G85)</f>
        <v>0</v>
      </c>
    </row>
    <row r="86" spans="2:8" ht="12" customHeight="1" x14ac:dyDescent="0.2">
      <c r="B86" s="52"/>
      <c r="D86" s="74" t="str">
        <f xml:space="preserve"> "Adjustment because " &amp; Overlap</f>
        <v>Adjustment because Some (&lt;50%) Elements Already Exist in NIEM</v>
      </c>
      <c r="E86" s="300">
        <f>VLOOKUP(Overlap,'2.0 Exchange Variables'!$A$18:$B$21,2,FALSE)*(E29+E23)</f>
        <v>-8941.0400000000009</v>
      </c>
      <c r="F86" s="250">
        <f>VLOOKUP(Overlap,'2.0 Exchange Variables'!$A$18:$B$21,2,FALSE)*(F29+F23)</f>
        <v>-2235.2600000000002</v>
      </c>
      <c r="G86" s="250">
        <f>VLOOKUP(Overlap,'2.0 Exchange Variables'!$A$18:$B$21,2,FALSE)*(G29+G23)</f>
        <v>0</v>
      </c>
      <c r="H86" s="265">
        <f t="shared" ref="H86:H87" si="4">SUM(F86:G86)</f>
        <v>-2235.2600000000002</v>
      </c>
    </row>
    <row r="87" spans="2:8" ht="12" customHeight="1" x14ac:dyDescent="0.2">
      <c r="B87" s="52"/>
      <c r="C87" s="56"/>
      <c r="D87" s="66" t="s">
        <v>265</v>
      </c>
      <c r="E87" s="301">
        <f>IF((E74+E81)&gt;0,('3.0 Cost Variables'!C37)*-1,0)</f>
        <v>0</v>
      </c>
      <c r="F87" s="251">
        <f>IF((F74+F81)&gt;0,(VALUE(IF(NewConsumers&gt;0,E87*NewConsumers,))),0)</f>
        <v>0</v>
      </c>
      <c r="G87" s="251">
        <f>IF((G74+G81)&gt;0,(VALUE(IF(NewIEPDs&gt;0,E87*NewIEPDs,0))),0)</f>
        <v>0</v>
      </c>
      <c r="H87" s="266">
        <f t="shared" si="4"/>
        <v>0</v>
      </c>
    </row>
    <row r="88" spans="2:8" ht="12" customHeight="1" thickBot="1" x14ac:dyDescent="0.25">
      <c r="B88" s="279"/>
      <c r="C88" s="280"/>
      <c r="D88" s="237" t="s">
        <v>257</v>
      </c>
      <c r="E88" s="311">
        <f>SUM(E85:E87)</f>
        <v>-8941.0400000000009</v>
      </c>
      <c r="F88" s="282">
        <f t="shared" ref="F88:H88" si="5">SUM(F85:F87)</f>
        <v>-2235.2600000000002</v>
      </c>
      <c r="G88" s="262">
        <f t="shared" si="5"/>
        <v>0</v>
      </c>
      <c r="H88" s="272">
        <f t="shared" si="5"/>
        <v>-2235.2600000000002</v>
      </c>
    </row>
    <row r="89" spans="2:8" ht="12" customHeight="1" thickBot="1" x14ac:dyDescent="0.25">
      <c r="B89" s="284"/>
      <c r="C89" s="281"/>
      <c r="D89" s="291"/>
      <c r="E89" s="292"/>
      <c r="F89" s="288"/>
      <c r="G89" s="289"/>
      <c r="H89" s="290"/>
    </row>
    <row r="90" spans="2:8" ht="12" customHeight="1" thickBot="1" x14ac:dyDescent="0.25"/>
    <row r="91" spans="2:8" ht="12" customHeight="1" thickBot="1" x14ac:dyDescent="0.25">
      <c r="B91" s="67" t="s">
        <v>119</v>
      </c>
      <c r="C91" s="68"/>
      <c r="D91" s="68"/>
      <c r="E91" s="313">
        <f>E74+E81+E88</f>
        <v>682535.04</v>
      </c>
      <c r="F91" s="69">
        <f t="shared" ref="F91:H91" si="6">F74+F81+F88</f>
        <v>173890.28</v>
      </c>
      <c r="G91" s="246">
        <f t="shared" si="6"/>
        <v>0</v>
      </c>
      <c r="H91" s="70">
        <f t="shared" si="6"/>
        <v>516141.3600000001</v>
      </c>
    </row>
    <row r="92" spans="2:8" ht="12" customHeight="1" x14ac:dyDescent="0.2"/>
    <row r="93" spans="2:8" ht="12" customHeight="1" x14ac:dyDescent="0.2"/>
  </sheetData>
  <mergeCells count="4">
    <mergeCell ref="A7:C7"/>
    <mergeCell ref="E7:H7"/>
    <mergeCell ref="A1:XFD1"/>
    <mergeCell ref="A5:D5"/>
  </mergeCells>
  <hyperlinks>
    <hyperlink ref="A5" location="Overview!A1" display="Overview"/>
  </hyperlinks>
  <pageMargins left="0.5" right="0.5" top="1" bottom="1" header="0.5" footer="0.5"/>
  <pageSetup paperSize="5" scale="79" fitToHeight="2"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5675C13C902541AE878BD7D794F5A2" ma:contentTypeVersion="2" ma:contentTypeDescription="Create a new document." ma:contentTypeScope="" ma:versionID="ac2711e961fe929a736da57dd642d464">
  <xsd:schema xmlns:xsd="http://www.w3.org/2001/XMLSchema" xmlns:xs="http://www.w3.org/2001/XMLSchema" xmlns:p="http://schemas.microsoft.com/office/2006/metadata/properties" targetNamespace="http://schemas.microsoft.com/office/2006/metadata/properties" ma:root="true" ma:fieldsID="ed2a3e1ff37c85790d87975ecab6095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5B59F8-1326-44FE-89AF-AED60B9F28F9}">
  <ds:schemaRefs>
    <ds:schemaRef ds:uri="http://schemas.microsoft.com/sharepoint/v3/contenttype/forms"/>
  </ds:schemaRefs>
</ds:datastoreItem>
</file>

<file path=customXml/itemProps2.xml><?xml version="1.0" encoding="utf-8"?>
<ds:datastoreItem xmlns:ds="http://schemas.openxmlformats.org/officeDocument/2006/customXml" ds:itemID="{DAC0A9E5-288F-400C-BE6B-30A4C9E1B2B9}">
  <ds:schemaRef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A1742FC-7489-466D-9E2C-42ACFEEAF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49</vt:i4>
      </vt:variant>
    </vt:vector>
  </HeadingPairs>
  <TitlesOfParts>
    <vt:vector size="64" baseType="lpstr">
      <vt:lpstr>Title</vt:lpstr>
      <vt:lpstr>Overview</vt:lpstr>
      <vt:lpstr>1.0 Instructions</vt:lpstr>
      <vt:lpstr>2.0 Exchange Variables</vt:lpstr>
      <vt:lpstr>3.0 Cost Variables</vt:lpstr>
      <vt:lpstr>4.0 Activities</vt:lpstr>
      <vt:lpstr>5.0 Summary Analysis</vt:lpstr>
      <vt:lpstr>5.1 Base YR</vt:lpstr>
      <vt:lpstr>5.2 YR1</vt:lpstr>
      <vt:lpstr>5.3 YR2</vt:lpstr>
      <vt:lpstr>5.4 YR3</vt:lpstr>
      <vt:lpstr>6.0 Metrics</vt:lpstr>
      <vt:lpstr>0.1 Dashboard</vt:lpstr>
      <vt:lpstr>6.0 Appendix</vt:lpstr>
      <vt:lpstr>Sample Values</vt:lpstr>
      <vt:lpstr>Activities</vt:lpstr>
      <vt:lpstr>Analysis</vt:lpstr>
      <vt:lpstr>Complexity</vt:lpstr>
      <vt:lpstr>ComplexityList</vt:lpstr>
      <vt:lpstr>ExistingIEPD</vt:lpstr>
      <vt:lpstr>Instructions</vt:lpstr>
      <vt:lpstr>LCat1</vt:lpstr>
      <vt:lpstr>LCat10</vt:lpstr>
      <vt:lpstr>LCat2</vt:lpstr>
      <vt:lpstr>LCat3</vt:lpstr>
      <vt:lpstr>LCat4</vt:lpstr>
      <vt:lpstr>LCat5</vt:lpstr>
      <vt:lpstr>LCat6</vt:lpstr>
      <vt:lpstr>LCat7</vt:lpstr>
      <vt:lpstr>LCat8</vt:lpstr>
      <vt:lpstr>LCat9</vt:lpstr>
      <vt:lpstr>LOE</vt:lpstr>
      <vt:lpstr>ModelOverlap</vt:lpstr>
      <vt:lpstr>NewConsumers</vt:lpstr>
      <vt:lpstr>NewConsumers1</vt:lpstr>
      <vt:lpstr>NewConsumers2</vt:lpstr>
      <vt:lpstr>NewConsumers3</vt:lpstr>
      <vt:lpstr>NewIEPDs</vt:lpstr>
      <vt:lpstr>NewIEPDs1</vt:lpstr>
      <vt:lpstr>NewIEPDs2</vt:lpstr>
      <vt:lpstr>NewIEPDs3</vt:lpstr>
      <vt:lpstr>NO</vt:lpstr>
      <vt:lpstr>Overlap</vt:lpstr>
      <vt:lpstr>'1.0 Instructions'!Print_Area</vt:lpstr>
      <vt:lpstr>'2.0 Exchange Variables'!Print_Area</vt:lpstr>
      <vt:lpstr>'3.0 Cost Variables'!Print_Area</vt:lpstr>
      <vt:lpstr>'5.0 Summary Analysis'!Print_Area</vt:lpstr>
      <vt:lpstr>'5.2 YR1'!Print_Area</vt:lpstr>
      <vt:lpstr>'5.3 YR2'!Print_Area</vt:lpstr>
      <vt:lpstr>'5.4 YR3'!Print_Area</vt:lpstr>
      <vt:lpstr>'6.0 Metrics'!Print_Area</vt:lpstr>
      <vt:lpstr>Overview!Print_Area</vt:lpstr>
      <vt:lpstr>'4.0 Activities'!Print_Titles</vt:lpstr>
      <vt:lpstr>'5.0 Summary Analysis'!Print_Titles</vt:lpstr>
      <vt:lpstr>'5.1 Base YR'!Print_Titles</vt:lpstr>
      <vt:lpstr>'5.2 YR1'!Print_Titles</vt:lpstr>
      <vt:lpstr>'5.3 YR2'!Print_Titles</vt:lpstr>
      <vt:lpstr>'5.4 YR3'!Print_Titles</vt:lpstr>
      <vt:lpstr>ResourceRates</vt:lpstr>
      <vt:lpstr>ResourceType</vt:lpstr>
      <vt:lpstr>Training</vt:lpstr>
      <vt:lpstr>Training2</vt:lpstr>
      <vt:lpstr>Training3</vt:lpstr>
      <vt:lpstr>YES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3.b - NIEM Cost Model - Medium Participation</dc:title>
  <dc:creator>Tyson, Erica</dc:creator>
  <cp:lastModifiedBy>Michael Treagy</cp:lastModifiedBy>
  <cp:lastPrinted>2013-01-23T19:54:56Z</cp:lastPrinted>
  <dcterms:created xsi:type="dcterms:W3CDTF">2011-03-31T18:12:20Z</dcterms:created>
  <dcterms:modified xsi:type="dcterms:W3CDTF">2015-06-23T16:26:22Z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0x0101004D5675C13C902541AE878BD7D794F5A2</vt:lpwstr>
  </property>
  <property fmtid="{D5CDD505-2E9C-101B-9397-08002B2CF9AE}" pid="3" name="Order">
    <vt:r8>115800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